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72.25.48.3\user\Ratan\Consultancy Services\Consultancy Services\"/>
    </mc:Choice>
  </mc:AlternateContent>
  <xr:revisionPtr revIDLastSave="0" documentId="13_ncr:1_{6092600A-C647-46F3-956B-E6E542824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2" r:id="rId1"/>
    <sheet name="SMIT Dept Fund_Consultancy 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2" l="1"/>
  <c r="P6" i="2"/>
  <c r="L6" i="2"/>
  <c r="J120" i="1"/>
  <c r="E107" i="1"/>
  <c r="D107" i="1"/>
  <c r="J99" i="1"/>
  <c r="I99" i="1"/>
  <c r="H99" i="1"/>
  <c r="J105" i="1"/>
  <c r="J107" i="1" s="1"/>
  <c r="I105" i="1"/>
  <c r="H105" i="1"/>
  <c r="F105" i="1"/>
  <c r="F99" i="1"/>
  <c r="G6" i="2"/>
  <c r="J115" i="1"/>
  <c r="Q6" i="2" s="1"/>
  <c r="I107" i="1" l="1"/>
  <c r="H107" i="1"/>
  <c r="F107" i="1"/>
  <c r="J118" i="1"/>
  <c r="D71" i="1"/>
  <c r="D73" i="1" s="1"/>
  <c r="E70" i="1"/>
  <c r="F70" i="1" s="1"/>
  <c r="E69" i="1"/>
  <c r="F69" i="1" s="1"/>
  <c r="E68" i="1"/>
  <c r="F68" i="1" s="1"/>
  <c r="F67" i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H66" i="1" l="1"/>
  <c r="I66" i="1" s="1"/>
  <c r="J66" i="1" s="1"/>
  <c r="E71" i="1"/>
  <c r="E73" i="1" s="1"/>
  <c r="H62" i="1"/>
  <c r="I62" i="1" s="1"/>
  <c r="J62" i="1" s="1"/>
  <c r="H67" i="1"/>
  <c r="I67" i="1" s="1"/>
  <c r="J67" i="1" s="1"/>
  <c r="H64" i="1"/>
  <c r="I64" i="1" s="1"/>
  <c r="J64" i="1" s="1"/>
  <c r="H65" i="1"/>
  <c r="I65" i="1" s="1"/>
  <c r="J65" i="1" s="1"/>
  <c r="H69" i="1"/>
  <c r="I69" i="1" s="1"/>
  <c r="J69" i="1" s="1"/>
  <c r="H61" i="1"/>
  <c r="I61" i="1" s="1"/>
  <c r="J61" i="1" s="1"/>
  <c r="H70" i="1"/>
  <c r="I70" i="1" s="1"/>
  <c r="J70" i="1" s="1"/>
  <c r="F60" i="1"/>
  <c r="H63" i="1"/>
  <c r="I63" i="1" s="1"/>
  <c r="J63" i="1" s="1"/>
  <c r="H68" i="1"/>
  <c r="I68" i="1" s="1"/>
  <c r="J68" i="1" s="1"/>
  <c r="H60" i="1" l="1"/>
  <c r="H71" i="1" s="1"/>
  <c r="H73" i="1" s="1"/>
  <c r="F71" i="1"/>
  <c r="K6" i="2" l="1"/>
  <c r="F73" i="1"/>
  <c r="I60" i="1"/>
  <c r="I71" i="1" l="1"/>
  <c r="I73" i="1" s="1"/>
  <c r="J60" i="1"/>
  <c r="J71" i="1" s="1"/>
  <c r="J73" i="1" s="1"/>
  <c r="G7" i="2" l="1"/>
  <c r="D16" i="1"/>
  <c r="F15" i="1"/>
  <c r="H15" i="1" s="1"/>
  <c r="I15" i="1" s="1"/>
  <c r="J15" i="1" s="1"/>
  <c r="F14" i="1"/>
  <c r="H14" i="1" s="1"/>
  <c r="I14" i="1" s="1"/>
  <c r="J14" i="1" s="1"/>
  <c r="E13" i="1"/>
  <c r="F13" i="1" s="1"/>
  <c r="H13" i="1" s="1"/>
  <c r="I13" i="1" s="1"/>
  <c r="J13" i="1" s="1"/>
  <c r="E12" i="1"/>
  <c r="F12" i="1" s="1"/>
  <c r="F11" i="1"/>
  <c r="F10" i="1"/>
  <c r="F9" i="1"/>
  <c r="F8" i="1"/>
  <c r="F7" i="1"/>
  <c r="F6" i="1"/>
  <c r="F5" i="1"/>
  <c r="H13" i="2" l="1"/>
  <c r="H12" i="1"/>
  <c r="I12" i="1" s="1"/>
  <c r="J12" i="1" s="1"/>
  <c r="F16" i="1"/>
  <c r="H6" i="2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6" i="1" l="1"/>
  <c r="I16" i="1" s="1"/>
  <c r="J16" i="1" s="1"/>
  <c r="G54" i="1" l="1"/>
  <c r="D54" i="1"/>
  <c r="D56" i="1" s="1"/>
  <c r="E53" i="1"/>
  <c r="F53" i="1" s="1"/>
  <c r="H53" i="1" s="1"/>
  <c r="I53" i="1" s="1"/>
  <c r="J53" i="1" s="1"/>
  <c r="E52" i="1"/>
  <c r="F52" i="1" s="1"/>
  <c r="E51" i="1"/>
  <c r="F51" i="1" s="1"/>
  <c r="F50" i="1"/>
  <c r="G49" i="1"/>
  <c r="F49" i="1"/>
  <c r="H48" i="1"/>
  <c r="I48" i="1" s="1"/>
  <c r="J48" i="1" s="1"/>
  <c r="H47" i="1"/>
  <c r="Q7" i="2" l="1"/>
  <c r="G56" i="1"/>
  <c r="H49" i="1"/>
  <c r="H51" i="1"/>
  <c r="I51" i="1" s="1"/>
  <c r="J51" i="1" s="1"/>
  <c r="H52" i="1"/>
  <c r="I52" i="1" s="1"/>
  <c r="J52" i="1" s="1"/>
  <c r="E54" i="1"/>
  <c r="E56" i="1" s="1"/>
  <c r="H50" i="1"/>
  <c r="F54" i="1"/>
  <c r="F56" i="1" s="1"/>
  <c r="I47" i="1"/>
  <c r="J6" i="2" l="1"/>
  <c r="H54" i="1"/>
  <c r="H56" i="1" s="1"/>
  <c r="J47" i="1"/>
  <c r="J49" i="1" s="1"/>
  <c r="I49" i="1"/>
  <c r="I50" i="1"/>
  <c r="J50" i="1" l="1"/>
  <c r="J54" i="1" s="1"/>
  <c r="J56" i="1" s="1"/>
  <c r="I54" i="1"/>
  <c r="I56" i="1" s="1"/>
  <c r="F25" i="1" l="1"/>
  <c r="H24" i="1"/>
  <c r="I24" i="1" s="1"/>
  <c r="J24" i="1" s="1"/>
  <c r="H23" i="1"/>
  <c r="I23" i="1" s="1"/>
  <c r="J23" i="1" s="1"/>
  <c r="G25" i="1"/>
  <c r="H20" i="1" l="1"/>
  <c r="H21" i="1"/>
  <c r="I21" i="1" s="1"/>
  <c r="J21" i="1" s="1"/>
  <c r="M21" i="1" s="1"/>
  <c r="H22" i="1"/>
  <c r="I22" i="1" s="1"/>
  <c r="J22" i="1" s="1"/>
  <c r="M22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D41" i="1"/>
  <c r="D43" i="1" s="1"/>
  <c r="E41" i="1"/>
  <c r="E43" i="1" s="1"/>
  <c r="G43" i="1"/>
  <c r="G109" i="1" s="1"/>
  <c r="H25" i="1" l="1"/>
  <c r="I20" i="1"/>
  <c r="I25" i="1" s="1"/>
  <c r="I38" i="1"/>
  <c r="J38" i="1" s="1"/>
  <c r="M38" i="1" s="1"/>
  <c r="I36" i="1"/>
  <c r="J36" i="1" s="1"/>
  <c r="M36" i="1" s="1"/>
  <c r="I34" i="1"/>
  <c r="J34" i="1" s="1"/>
  <c r="M34" i="1" s="1"/>
  <c r="I32" i="1"/>
  <c r="J32" i="1" s="1"/>
  <c r="M32" i="1" s="1"/>
  <c r="I30" i="1"/>
  <c r="J30" i="1" s="1"/>
  <c r="M30" i="1" s="1"/>
  <c r="I40" i="1"/>
  <c r="J40" i="1" s="1"/>
  <c r="M40" i="1" s="1"/>
  <c r="H41" i="1"/>
  <c r="I39" i="1"/>
  <c r="J39" i="1" s="1"/>
  <c r="M39" i="1" s="1"/>
  <c r="I37" i="1"/>
  <c r="J37" i="1" s="1"/>
  <c r="M37" i="1" s="1"/>
  <c r="I35" i="1"/>
  <c r="J35" i="1" s="1"/>
  <c r="M35" i="1" s="1"/>
  <c r="I33" i="1"/>
  <c r="J33" i="1" s="1"/>
  <c r="M33" i="1" s="1"/>
  <c r="I31" i="1"/>
  <c r="J31" i="1" s="1"/>
  <c r="M31" i="1" s="1"/>
  <c r="I29" i="1"/>
  <c r="J29" i="1" s="1"/>
  <c r="F41" i="1"/>
  <c r="F43" i="1" s="1"/>
  <c r="F109" i="1" s="1"/>
  <c r="I6" i="2" l="1"/>
  <c r="M6" i="2" s="1"/>
  <c r="J20" i="1"/>
  <c r="J25" i="1" s="1"/>
  <c r="H43" i="1"/>
  <c r="I41" i="1"/>
  <c r="I43" i="1" s="1"/>
  <c r="I109" i="1" s="1"/>
  <c r="J41" i="1"/>
  <c r="M29" i="1"/>
  <c r="H109" i="1" l="1"/>
  <c r="N6" i="2" s="1"/>
  <c r="N7" i="2" s="1"/>
  <c r="M7" i="2"/>
  <c r="M20" i="1"/>
  <c r="J43" i="1"/>
  <c r="J109" i="1" s="1"/>
  <c r="R6" i="2" l="1"/>
  <c r="R7" i="2" s="1"/>
  <c r="P7" i="2"/>
  <c r="O7" i="2" l="1"/>
</calcChain>
</file>

<file path=xl/sharedStrings.xml><?xml version="1.0" encoding="utf-8"?>
<sst xmlns="http://schemas.openxmlformats.org/spreadsheetml/2006/main" count="345" uniqueCount="187">
  <si>
    <t>Subtotal -2 -Where Infrastructure of SMIT is Used-40:60 Ratio</t>
  </si>
  <si>
    <t>Sajal Sarkar</t>
  </si>
  <si>
    <t>SMU/2018-19/439</t>
  </si>
  <si>
    <t>Sulochana Dahal</t>
  </si>
  <si>
    <t xml:space="preserve">SMU/2018-19/398  </t>
  </si>
  <si>
    <t>Daluram Sarda</t>
  </si>
  <si>
    <t>Abhranil Adak</t>
  </si>
  <si>
    <t xml:space="preserve">SMU/2018-19/204 </t>
  </si>
  <si>
    <t>Amit Agarwal</t>
  </si>
  <si>
    <t>Prof.C Bhuiyan</t>
  </si>
  <si>
    <t>SMU/2018-19/397</t>
  </si>
  <si>
    <t>AVR Infraspace Pvt Ltd</t>
  </si>
  <si>
    <t>Mr. Sajal Sarkar</t>
  </si>
  <si>
    <t xml:space="preserve">SMU/2018-19/168 </t>
  </si>
  <si>
    <t xml:space="preserve">SMU/2018-19/166 </t>
  </si>
  <si>
    <t>Mr.Abranil Adak</t>
  </si>
  <si>
    <t xml:space="preserve">SMU/2018-19/126 </t>
  </si>
  <si>
    <t>SMU/2018-19/084</t>
  </si>
  <si>
    <t xml:space="preserve">SMU/2018-19/083 </t>
  </si>
  <si>
    <t>Mr.Sourav Gupta</t>
  </si>
  <si>
    <t>SMU/2018-19/085</t>
  </si>
  <si>
    <t>Pradeep Structural Developement Pvt. Ltd</t>
  </si>
  <si>
    <t xml:space="preserve">SMU/2018-19/045 </t>
  </si>
  <si>
    <t>Anand Tube Industries</t>
  </si>
  <si>
    <t xml:space="preserve">SMU/2018-19/003 </t>
  </si>
  <si>
    <t>Department share 50% of SMIT share</t>
  </si>
  <si>
    <t>SMIT: 60</t>
  </si>
  <si>
    <t>Investigator: 40</t>
  </si>
  <si>
    <t>Amount Received from Company</t>
  </si>
  <si>
    <t>Share of Consultancy Charges 40:60 ratio</t>
  </si>
  <si>
    <t>Name of Investigator</t>
  </si>
  <si>
    <t>Net Amount</t>
  </si>
  <si>
    <t>GST</t>
  </si>
  <si>
    <t>Total Amt</t>
  </si>
  <si>
    <t>Invoice dated</t>
  </si>
  <si>
    <t>Invoice No.</t>
  </si>
  <si>
    <t>Name of Company/Agency</t>
  </si>
  <si>
    <t>Subtotal -1 -Where Infrastructure of SMIT is not Used-60:40 Ratio</t>
  </si>
  <si>
    <t>Guru Prasad Sharma</t>
  </si>
  <si>
    <t>Nil</t>
  </si>
  <si>
    <t>National Rural Roads Development Agency,Ministry of Rural Development,GoI</t>
  </si>
  <si>
    <t>National Water Mission- SSA preperation for  State of Sikkim</t>
  </si>
  <si>
    <t>SMIT: 40</t>
  </si>
  <si>
    <t>Investigator: 60</t>
  </si>
  <si>
    <t>Share of Consultancy Charges 60:40 ratio</t>
  </si>
  <si>
    <t>Consultancy Service conducted by Department of Civil Engineering, SMIT</t>
  </si>
  <si>
    <t>Sl</t>
  </si>
  <si>
    <t>Total</t>
  </si>
  <si>
    <t>2018-19</t>
  </si>
  <si>
    <t>UNIT: SMIT</t>
  </si>
  <si>
    <t>BSVR Construction Pvt Ltd</t>
  </si>
  <si>
    <t>SMU/2019-20/478</t>
  </si>
  <si>
    <t>Global Scientific Inc</t>
  </si>
  <si>
    <t xml:space="preserve">SMU/2019-20/388 </t>
  </si>
  <si>
    <t>Reena Pradhan</t>
  </si>
  <si>
    <t>Rahul Contructions</t>
  </si>
  <si>
    <t>SMU/2019-20/003</t>
  </si>
  <si>
    <t>Sourav Gupta</t>
  </si>
  <si>
    <t xml:space="preserve">SMU/2019-20/130 </t>
  </si>
  <si>
    <t>Abranil Adak</t>
  </si>
  <si>
    <t>2019-20</t>
  </si>
  <si>
    <t>Utilization of Grants -</t>
  </si>
  <si>
    <t>i) Expenses National Workshop in Civil Dept.</t>
  </si>
  <si>
    <t>ii)  Down to Earth</t>
  </si>
  <si>
    <t>Name of Company</t>
  </si>
  <si>
    <t>Investigator</t>
  </si>
  <si>
    <t>SMIT</t>
  </si>
  <si>
    <t>Dept.
Share</t>
  </si>
  <si>
    <t>ITD CEMENTATION INDIA LTD</t>
  </si>
  <si>
    <t>SMU/ROIP/2017-18/108</t>
  </si>
  <si>
    <t xml:space="preserve">ITD CEMENTATION INDIA  LTD </t>
  </si>
  <si>
    <t>SMU/ROIP/2017-18/107</t>
  </si>
  <si>
    <t>AVR INFRASPACE PVT LTD</t>
  </si>
  <si>
    <t>SMU/ROIP/2017-18/214</t>
  </si>
  <si>
    <t xml:space="preserve">ITD CEMENTATION INDIA LTD </t>
  </si>
  <si>
    <t>SMU/ROIP/2017-18/251</t>
  </si>
  <si>
    <t>RMDD,GOS NORTH</t>
  </si>
  <si>
    <t>SMU/ROIP/2017-18/252</t>
  </si>
  <si>
    <t xml:space="preserve">AMIT AGARWAL                                   </t>
  </si>
  <si>
    <t xml:space="preserve">SMU/ROIP/2017-18/258 </t>
  </si>
  <si>
    <t xml:space="preserve">AMIT AGARWAL </t>
  </si>
  <si>
    <t xml:space="preserve"> SMU/ROIP/2017-18/294</t>
  </si>
  <si>
    <t xml:space="preserve"> 15/03/2018</t>
  </si>
  <si>
    <t>Avr Infraspace Pvt Ltd</t>
  </si>
  <si>
    <t>SMU/ROIP/2017-18/064</t>
  </si>
  <si>
    <t>Mungipa Trade Links Pvt Ltd</t>
  </si>
  <si>
    <t>SMU/ROIP/2017-18/063</t>
  </si>
  <si>
    <t>Reliance Jio Infocom  Ltd</t>
  </si>
  <si>
    <t>SMU/ROIP/2017-18/065</t>
  </si>
  <si>
    <t>SMU/ROIP/2017-18/071</t>
  </si>
  <si>
    <t>Total FY: 2017-18</t>
  </si>
  <si>
    <t>2017-18</t>
  </si>
  <si>
    <t>Total FY: 2019-20</t>
  </si>
  <si>
    <t>Total Utilised so far</t>
  </si>
  <si>
    <t>Consultant share/Faculty share
(B)</t>
  </si>
  <si>
    <t>Dept Fund
(C )</t>
  </si>
  <si>
    <t>SMIT Income
(D)</t>
  </si>
  <si>
    <t>Balance Fund Available in Dept Fund
F=C-E</t>
  </si>
  <si>
    <t>Total Nos of Project FY Wise
(A)</t>
  </si>
  <si>
    <t>Total Fund Generated FY Wise
(B)</t>
  </si>
  <si>
    <t>Expenses/
Utilization
( E)</t>
  </si>
  <si>
    <t>Unit-SMIT</t>
  </si>
  <si>
    <t>2020-21</t>
  </si>
  <si>
    <t>Dhorajia Construction Company</t>
  </si>
  <si>
    <t xml:space="preserve"> SMU/2020-21/355</t>
  </si>
  <si>
    <t>Saurabh Gupta &amp; Tamal Ghosh</t>
  </si>
  <si>
    <t>Assistant Engineer,RMDD Jorethang</t>
  </si>
  <si>
    <t xml:space="preserve">SMU/2020-21/422 </t>
  </si>
  <si>
    <t>Saurabh sharma,Dhrubh Kumar &amp; Saikat Chatterjee</t>
  </si>
  <si>
    <t>Jaiprakash Associates Limited</t>
  </si>
  <si>
    <t xml:space="preserve">SMU/2020-21/414 </t>
  </si>
  <si>
    <t>Rajdeep Roy</t>
  </si>
  <si>
    <t xml:space="preserve">SMU/2020-21/424 </t>
  </si>
  <si>
    <t>SMU/2020-21/456</t>
  </si>
  <si>
    <t>Kamal Rai</t>
  </si>
  <si>
    <t>SMU/2020-21/426</t>
  </si>
  <si>
    <t>Jaiprakash Associates Ltd</t>
  </si>
  <si>
    <t xml:space="preserve">SMU/2020-21/458 </t>
  </si>
  <si>
    <t xml:space="preserve">SMU/2020-21/461 </t>
  </si>
  <si>
    <t xml:space="preserve">SMU/2020-21/462 </t>
  </si>
  <si>
    <t>Norie Sherpa</t>
  </si>
  <si>
    <t xml:space="preserve">SMU/2020-21/463 </t>
  </si>
  <si>
    <t>Bio Vision Projects Pvt Ltd</t>
  </si>
  <si>
    <t>Add: Fund adjusted  towards the grants Received for Down to Earth of which fund was used from Consultancy fund</t>
  </si>
  <si>
    <t>Total FY: 2020-21</t>
  </si>
  <si>
    <t>iii) Utilization of fund for procurement of items  for fund generating dept.</t>
  </si>
  <si>
    <t>2021-22</t>
  </si>
  <si>
    <t>Summary of fund generated from Consultancy  projects as on 31 Mar 2022</t>
  </si>
  <si>
    <t>Total FY: 2018-19(1+2)</t>
  </si>
  <si>
    <t>Gajanand Agarwal</t>
  </si>
  <si>
    <t>SMU/2021-22/270</t>
  </si>
  <si>
    <t>Rithwik HIPL Joint Venture</t>
  </si>
  <si>
    <t>SMU/2021-22/243</t>
  </si>
  <si>
    <t>Sunil Kumar Agarwal</t>
  </si>
  <si>
    <t>SMU/2021-22/229</t>
  </si>
  <si>
    <t>Suryodaya Infra Projects (I) Pvt. Ltd</t>
  </si>
  <si>
    <t>SMU/2021-22/269</t>
  </si>
  <si>
    <t xml:space="preserve">SMU/2021-22/334 </t>
  </si>
  <si>
    <t>Tamal Ghosh</t>
  </si>
  <si>
    <t>IRCON INTERNATIONAL LIMITED</t>
  </si>
  <si>
    <t>SMU/2021-22/390</t>
  </si>
  <si>
    <t>ROYAL INFRACONSTRU LTD</t>
  </si>
  <si>
    <t>SMU/2021-22/360</t>
  </si>
  <si>
    <t xml:space="preserve">FABTEK </t>
  </si>
  <si>
    <t>SUNIL KUMAR AGARWAL</t>
  </si>
  <si>
    <t>SMU/2021-22/391</t>
  </si>
  <si>
    <t>SMU/2021-22/307</t>
  </si>
  <si>
    <t>Guru Prasad Sharma&amp; Jyoti Prasanna Sengupta</t>
  </si>
  <si>
    <t>premchand Kumar Mahato(3039),Tamal Ghosh(3573) &amp; Jyoti Prasanna Sengupta(4277)</t>
  </si>
  <si>
    <t>Ircon International Ltd</t>
  </si>
  <si>
    <t>SMU/2021-22/389</t>
  </si>
  <si>
    <t>Guru Prasad Sharma(2794)&amp; Rajdeep Roy(4369)</t>
  </si>
  <si>
    <t>STA coordination  honorarium  for PMGSY  Project-Letter No-NRRDA P011(14)/1/2016-Tech/544  Dtd.16 Mar 2022</t>
  </si>
  <si>
    <t>Guru Prasad Sharma(EC-2794)&amp;Upama Bomzan(3800)</t>
  </si>
  <si>
    <t>Rangit Construction Pvt Ltd</t>
  </si>
  <si>
    <t>U Narayan Sharma</t>
  </si>
  <si>
    <t>SM Infrastructure Pvt Ltd</t>
  </si>
  <si>
    <t>Madan Rai</t>
  </si>
  <si>
    <t xml:space="preserve"> SMU/2021-22/305 </t>
  </si>
  <si>
    <t xml:space="preserve"> SMU/2021-22/306 </t>
  </si>
  <si>
    <t xml:space="preserve"> SMU/2021-22/226</t>
  </si>
  <si>
    <t>SMU/2021-22/114</t>
  </si>
  <si>
    <t xml:space="preserve">SMU/2021-22/115 </t>
  </si>
  <si>
    <t>SMU/2021-22/225</t>
  </si>
  <si>
    <t>Sajal  Sarkar &amp; Sourav Gupta &amp; Jyoti Prasanna Sengupta</t>
  </si>
  <si>
    <t>ABHRANIL ADAK &amp; Prerna Ghaley</t>
  </si>
  <si>
    <t>Sajal  Sarkar &amp; Jyoti Prasanna Sengupta</t>
  </si>
  <si>
    <t>R K Infracorp Pvt Ltd</t>
  </si>
  <si>
    <t>Ritwik HIPL Joint Venture</t>
  </si>
  <si>
    <t>Sanjay Kumar Agarwal</t>
  </si>
  <si>
    <t>S B Construction</t>
  </si>
  <si>
    <t>SMU/2021-22/277</t>
  </si>
  <si>
    <t>SMU/2021-22/278</t>
  </si>
  <si>
    <t>SMU/2021-22/279</t>
  </si>
  <si>
    <t>SMU/2021-22/113</t>
  </si>
  <si>
    <t>SMU/2021-22/195</t>
  </si>
  <si>
    <t>SMU/2021-22/230</t>
  </si>
  <si>
    <t>SMU/2021-22/228</t>
  </si>
  <si>
    <t>ABHRANIL ADAK</t>
  </si>
  <si>
    <t>RAJDEEP ROY</t>
  </si>
  <si>
    <t>TAMAL GHOSH</t>
  </si>
  <si>
    <t>Sikkim Housing Development Board
Gangtok Sikkim</t>
  </si>
  <si>
    <t>Guru Prasad Sharma,Sajal Sarkar and Abhranil Adak</t>
  </si>
  <si>
    <t>Grant Total Collection as on 31 Mar 2022</t>
  </si>
  <si>
    <t>Total FY: 2021-22</t>
  </si>
  <si>
    <t>National Rural Road Development Agency
STA coordination  honorarium  for PMGSY  Project-Letter No-NRRDA P011(14)/1/2016-Tech Dtd.23 Mar 2021</t>
  </si>
  <si>
    <t>Net Balance as on  31 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</si>
</sst>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164" fontId="2" fillId="2" borderId="1" xfId="0" applyNumberFormat="1" applyFont="1" applyFill="1" applyBorder="1"/>
    <xf numFmtId="0" fontId="2" fillId="2" borderId="1" xfId="0" applyFont="1" applyFill="1" applyBorder="1"/>
    <xf numFmtId="164" fontId="3" fillId="0" borderId="4" xfId="1" applyNumberFormat="1" applyFont="1" applyBorder="1"/>
    <xf numFmtId="164" fontId="3" fillId="0" borderId="3" xfId="1" applyNumberFormat="1" applyFont="1" applyBorder="1"/>
    <xf numFmtId="14" fontId="3" fillId="0" borderId="3" xfId="0" applyNumberFormat="1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9" xfId="0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2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14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18" xfId="1" applyNumberFormat="1" applyFont="1" applyFill="1" applyBorder="1" applyAlignment="1">
      <alignment vertical="center"/>
    </xf>
    <xf numFmtId="164" fontId="3" fillId="0" borderId="4" xfId="1" applyNumberFormat="1" applyFont="1" applyFill="1" applyBorder="1"/>
    <xf numFmtId="0" fontId="3" fillId="0" borderId="19" xfId="0" applyFont="1" applyBorder="1"/>
    <xf numFmtId="0" fontId="3" fillId="0" borderId="20" xfId="0" applyFont="1" applyBorder="1"/>
    <xf numFmtId="14" fontId="3" fillId="0" borderId="20" xfId="0" applyNumberFormat="1" applyFont="1" applyBorder="1"/>
    <xf numFmtId="164" fontId="3" fillId="0" borderId="20" xfId="1" applyNumberFormat="1" applyFont="1" applyBorder="1"/>
    <xf numFmtId="164" fontId="3" fillId="0" borderId="21" xfId="1" applyNumberFormat="1" applyFont="1" applyBorder="1"/>
    <xf numFmtId="0" fontId="2" fillId="3" borderId="2" xfId="0" applyFont="1" applyFill="1" applyBorder="1"/>
    <xf numFmtId="0" fontId="3" fillId="3" borderId="2" xfId="0" applyFont="1" applyFill="1" applyBorder="1"/>
    <xf numFmtId="164" fontId="2" fillId="3" borderId="2" xfId="0" applyNumberFormat="1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8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6" xfId="0" applyFont="1" applyBorder="1"/>
    <xf numFmtId="14" fontId="3" fillId="0" borderId="6" xfId="0" applyNumberFormat="1" applyFont="1" applyBorder="1"/>
    <xf numFmtId="164" fontId="3" fillId="0" borderId="6" xfId="1" applyNumberFormat="1" applyFont="1" applyBorder="1"/>
    <xf numFmtId="164" fontId="3" fillId="0" borderId="15" xfId="1" applyNumberFormat="1" applyFont="1" applyBorder="1"/>
    <xf numFmtId="0" fontId="3" fillId="0" borderId="5" xfId="0" applyFont="1" applyBorder="1" applyAlignment="1">
      <alignment wrapText="1"/>
    </xf>
    <xf numFmtId="0" fontId="2" fillId="4" borderId="22" xfId="0" applyFont="1" applyFill="1" applyBorder="1"/>
    <xf numFmtId="164" fontId="2" fillId="4" borderId="23" xfId="1" applyNumberFormat="1" applyFont="1" applyFill="1" applyBorder="1"/>
    <xf numFmtId="0" fontId="2" fillId="4" borderId="23" xfId="0" applyFont="1" applyFill="1" applyBorder="1"/>
    <xf numFmtId="14" fontId="2" fillId="4" borderId="23" xfId="0" applyNumberFormat="1" applyFont="1" applyFill="1" applyBorder="1"/>
    <xf numFmtId="164" fontId="2" fillId="4" borderId="24" xfId="1" applyNumberFormat="1" applyFont="1" applyFill="1" applyBorder="1"/>
    <xf numFmtId="164" fontId="3" fillId="0" borderId="7" xfId="1" applyNumberFormat="1" applyFont="1" applyBorder="1"/>
    <xf numFmtId="164" fontId="3" fillId="0" borderId="25" xfId="1" applyNumberFormat="1" applyFont="1" applyBorder="1"/>
    <xf numFmtId="164" fontId="3" fillId="0" borderId="0" xfId="0" applyNumberFormat="1" applyFont="1"/>
    <xf numFmtId="164" fontId="3" fillId="0" borderId="11" xfId="1" applyNumberFormat="1" applyFont="1" applyBorder="1"/>
    <xf numFmtId="0" fontId="2" fillId="6" borderId="2" xfId="0" applyFont="1" applyFill="1" applyBorder="1"/>
    <xf numFmtId="0" fontId="3" fillId="6" borderId="2" xfId="0" applyFont="1" applyFill="1" applyBorder="1"/>
    <xf numFmtId="164" fontId="2" fillId="6" borderId="2" xfId="1" applyNumberFormat="1" applyFont="1" applyFill="1" applyBorder="1"/>
    <xf numFmtId="43" fontId="3" fillId="0" borderId="0" xfId="1" applyFont="1"/>
    <xf numFmtId="43" fontId="2" fillId="3" borderId="2" xfId="1" applyFont="1" applyFill="1" applyBorder="1"/>
    <xf numFmtId="0" fontId="6" fillId="0" borderId="0" xfId="0" applyFont="1"/>
    <xf numFmtId="43" fontId="3" fillId="0" borderId="10" xfId="1" applyFont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6" xfId="1" applyNumberFormat="1" applyFont="1" applyFill="1" applyBorder="1"/>
    <xf numFmtId="164" fontId="3" fillId="0" borderId="3" xfId="1" applyNumberFormat="1" applyFont="1" applyFill="1" applyBorder="1"/>
    <xf numFmtId="164" fontId="3" fillId="0" borderId="20" xfId="1" applyNumberFormat="1" applyFont="1" applyFill="1" applyBorder="1"/>
    <xf numFmtId="0" fontId="4" fillId="0" borderId="9" xfId="0" applyFont="1" applyBorder="1" applyAlignment="1">
      <alignment horizontal="center" vertical="center"/>
    </xf>
    <xf numFmtId="164" fontId="5" fillId="7" borderId="2" xfId="0" applyNumberFormat="1" applyFont="1" applyFill="1" applyBorder="1" applyAlignment="1">
      <alignment vertical="center"/>
    </xf>
    <xf numFmtId="164" fontId="4" fillId="8" borderId="9" xfId="1" applyNumberFormat="1" applyFont="1" applyFill="1" applyBorder="1" applyAlignment="1">
      <alignment vertical="center"/>
    </xf>
    <xf numFmtId="164" fontId="4" fillId="6" borderId="9" xfId="1" applyNumberFormat="1" applyFont="1" applyFill="1" applyBorder="1" applyAlignment="1">
      <alignment vertical="center"/>
    </xf>
    <xf numFmtId="164" fontId="4" fillId="9" borderId="9" xfId="1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164" fontId="5" fillId="7" borderId="2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164" fontId="4" fillId="8" borderId="9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164" fontId="3" fillId="0" borderId="6" xfId="2" applyNumberFormat="1" applyFont="1" applyBorder="1" applyAlignment="1">
      <alignment horizontal="left" vertical="center" wrapText="1"/>
    </xf>
    <xf numFmtId="164" fontId="3" fillId="0" borderId="15" xfId="2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6" xfId="2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3" fillId="0" borderId="3" xfId="2" applyNumberFormat="1" applyFont="1" applyBorder="1" applyAlignment="1">
      <alignment vertical="center"/>
    </xf>
    <xf numFmtId="164" fontId="3" fillId="0" borderId="3" xfId="2" applyNumberFormat="1" applyFont="1" applyFill="1" applyBorder="1" applyAlignment="1">
      <alignment vertical="center"/>
    </xf>
    <xf numFmtId="164" fontId="3" fillId="0" borderId="3" xfId="2" applyNumberFormat="1" applyFont="1" applyBorder="1" applyAlignment="1">
      <alignment horizontal="left" vertical="center" wrapText="1"/>
    </xf>
    <xf numFmtId="164" fontId="3" fillId="0" borderId="4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43" fontId="3" fillId="0" borderId="11" xfId="1" applyFont="1" applyBorder="1"/>
    <xf numFmtId="164" fontId="3" fillId="0" borderId="0" xfId="1" applyNumberFormat="1" applyFont="1"/>
    <xf numFmtId="164" fontId="2" fillId="3" borderId="2" xfId="1" applyNumberFormat="1" applyFont="1" applyFill="1" applyBorder="1"/>
    <xf numFmtId="0" fontId="5" fillId="6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9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9" xfId="1" applyNumberFormat="1" applyFont="1" applyFill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164" fontId="3" fillId="0" borderId="6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164" fontId="2" fillId="4" borderId="23" xfId="1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0" borderId="3" xfId="2" applyNumberFormat="1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3" fillId="0" borderId="9" xfId="1" applyNumberFormat="1" applyFont="1" applyBorder="1" applyAlignment="1">
      <alignment vertical="center" wrapText="1"/>
    </xf>
    <xf numFmtId="164" fontId="2" fillId="6" borderId="2" xfId="1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C17" sqref="C17"/>
    </sheetView>
  </sheetViews>
  <sheetFormatPr defaultRowHeight="14.4" x14ac:dyDescent="0.3"/>
  <cols>
    <col min="2" max="4" width="8.5546875" bestFit="1" customWidth="1"/>
    <col min="5" max="6" width="8.5546875" customWidth="1"/>
    <col min="7" max="7" width="6.109375" bestFit="1" customWidth="1"/>
    <col min="8" max="8" width="12.44140625" bestFit="1" customWidth="1"/>
    <col min="9" max="9" width="11.33203125" bestFit="1" customWidth="1"/>
    <col min="10" max="11" width="9.88671875" bestFit="1" customWidth="1"/>
    <col min="12" max="12" width="11" bestFit="1" customWidth="1"/>
    <col min="13" max="13" width="11.33203125" bestFit="1" customWidth="1"/>
    <col min="14" max="14" width="20.5546875" customWidth="1"/>
    <col min="15" max="15" width="11.5546875" bestFit="1" customWidth="1"/>
    <col min="16" max="16" width="14.33203125" bestFit="1" customWidth="1"/>
    <col min="17" max="17" width="13" customWidth="1"/>
    <col min="18" max="18" width="15.44140625" customWidth="1"/>
  </cols>
  <sheetData>
    <row r="1" spans="1:18" x14ac:dyDescent="0.3">
      <c r="A1" s="105" t="s">
        <v>101</v>
      </c>
    </row>
    <row r="2" spans="1:18" x14ac:dyDescent="0.3">
      <c r="A2" s="132" t="s">
        <v>127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4" spans="1:18" ht="30" customHeight="1" x14ac:dyDescent="0.3">
      <c r="A4" s="133" t="s">
        <v>46</v>
      </c>
      <c r="B4" s="131" t="s">
        <v>98</v>
      </c>
      <c r="C4" s="131"/>
      <c r="D4" s="131"/>
      <c r="E4" s="131"/>
      <c r="F4" s="131"/>
      <c r="G4" s="131"/>
      <c r="H4" s="131" t="s">
        <v>99</v>
      </c>
      <c r="I4" s="131"/>
      <c r="J4" s="131"/>
      <c r="K4" s="131"/>
      <c r="L4" s="131"/>
      <c r="M4" s="131"/>
      <c r="N4" s="131" t="s">
        <v>94</v>
      </c>
      <c r="O4" s="131" t="s">
        <v>95</v>
      </c>
      <c r="P4" s="131" t="s">
        <v>96</v>
      </c>
      <c r="Q4" s="129" t="s">
        <v>100</v>
      </c>
      <c r="R4" s="130" t="s">
        <v>97</v>
      </c>
    </row>
    <row r="5" spans="1:18" ht="22.8" customHeight="1" x14ac:dyDescent="0.3">
      <c r="A5" s="133"/>
      <c r="B5" s="103" t="s">
        <v>91</v>
      </c>
      <c r="C5" s="103" t="s">
        <v>48</v>
      </c>
      <c r="D5" s="103" t="s">
        <v>60</v>
      </c>
      <c r="E5" s="103" t="s">
        <v>102</v>
      </c>
      <c r="F5" s="103" t="s">
        <v>126</v>
      </c>
      <c r="G5" s="103" t="s">
        <v>47</v>
      </c>
      <c r="H5" s="103" t="s">
        <v>91</v>
      </c>
      <c r="I5" s="103" t="s">
        <v>48</v>
      </c>
      <c r="J5" s="103" t="s">
        <v>60</v>
      </c>
      <c r="K5" s="103" t="s">
        <v>102</v>
      </c>
      <c r="L5" s="103" t="s">
        <v>126</v>
      </c>
      <c r="M5" s="103" t="s">
        <v>47</v>
      </c>
      <c r="N5" s="131"/>
      <c r="O5" s="131"/>
      <c r="P5" s="131"/>
      <c r="Q5" s="129"/>
      <c r="R5" s="130"/>
    </row>
    <row r="6" spans="1:18" x14ac:dyDescent="0.3">
      <c r="A6" s="94">
        <v>1</v>
      </c>
      <c r="B6" s="103">
        <v>11</v>
      </c>
      <c r="C6" s="103">
        <v>14</v>
      </c>
      <c r="D6" s="103">
        <v>5</v>
      </c>
      <c r="E6" s="103">
        <v>11</v>
      </c>
      <c r="F6" s="103">
        <v>26</v>
      </c>
      <c r="G6" s="103">
        <f>SUM(B6:F6)</f>
        <v>67</v>
      </c>
      <c r="H6" s="104">
        <f>'SMIT Dept Fund_Consultancy 2022'!F16</f>
        <v>133500</v>
      </c>
      <c r="I6" s="104">
        <f>'SMIT Dept Fund_Consultancy 2022'!F43</f>
        <v>2272238</v>
      </c>
      <c r="J6" s="104">
        <f>'SMIT Dept Fund_Consultancy 2022'!F56</f>
        <v>288033</v>
      </c>
      <c r="K6" s="104">
        <f>'SMIT Dept Fund_Consultancy 2022'!F71</f>
        <v>128382</v>
      </c>
      <c r="L6" s="104">
        <f>'SMIT Dept Fund_Consultancy 2022'!F107</f>
        <v>1272843</v>
      </c>
      <c r="M6" s="104">
        <f>SUM(H6:L6)</f>
        <v>4094996</v>
      </c>
      <c r="N6" s="96">
        <f>'SMIT Dept Fund_Consultancy 2022'!H109</f>
        <v>2212821</v>
      </c>
      <c r="O6" s="96">
        <f>'SMIT Dept Fund_Consultancy 2022'!J109+'SMIT Dept Fund_Consultancy 2022'!J118</f>
        <v>1141086.5</v>
      </c>
      <c r="P6" s="96">
        <f>'SMIT Dept Fund_Consultancy 2022'!J109</f>
        <v>941086.5</v>
      </c>
      <c r="Q6" s="97">
        <f>'SMIT Dept Fund_Consultancy 2022'!J115</f>
        <v>269993</v>
      </c>
      <c r="R6" s="98">
        <f>O6-Q6</f>
        <v>871093.5</v>
      </c>
    </row>
    <row r="7" spans="1:18" ht="15" thickBot="1" x14ac:dyDescent="0.35">
      <c r="A7" s="99" t="s">
        <v>47</v>
      </c>
      <c r="B7" s="99"/>
      <c r="C7" s="99"/>
      <c r="D7" s="99"/>
      <c r="E7" s="99"/>
      <c r="F7" s="99"/>
      <c r="G7" s="99">
        <f>SUM(G6)</f>
        <v>67</v>
      </c>
      <c r="H7" s="99"/>
      <c r="I7" s="99"/>
      <c r="J7" s="99"/>
      <c r="K7" s="99"/>
      <c r="L7" s="99"/>
      <c r="M7" s="102">
        <f t="shared" ref="M7:R7" si="0">SUM(M6)</f>
        <v>4094996</v>
      </c>
      <c r="N7" s="95">
        <f t="shared" si="0"/>
        <v>2212821</v>
      </c>
      <c r="O7" s="95">
        <f t="shared" si="0"/>
        <v>1141086.5</v>
      </c>
      <c r="P7" s="95">
        <f t="shared" si="0"/>
        <v>941086.5</v>
      </c>
      <c r="Q7" s="95">
        <f t="shared" si="0"/>
        <v>269993</v>
      </c>
      <c r="R7" s="95">
        <f t="shared" si="0"/>
        <v>871093.5</v>
      </c>
    </row>
    <row r="10" spans="1:18" x14ac:dyDescent="0.3">
      <c r="H10" s="100"/>
      <c r="I10" s="100"/>
      <c r="J10" s="100"/>
      <c r="K10" s="100"/>
      <c r="L10" s="100"/>
      <c r="M10" s="100"/>
    </row>
    <row r="13" spans="1:18" x14ac:dyDescent="0.3">
      <c r="H13" s="101">
        <f>SUM(H10:H12)</f>
        <v>0</v>
      </c>
      <c r="I13" s="101"/>
      <c r="J13" s="101"/>
      <c r="K13" s="101"/>
      <c r="L13" s="101"/>
      <c r="M13" s="101"/>
    </row>
  </sheetData>
  <mergeCells count="9">
    <mergeCell ref="Q4:Q5"/>
    <mergeCell ref="R4:R5"/>
    <mergeCell ref="B4:G4"/>
    <mergeCell ref="A2:R2"/>
    <mergeCell ref="H4:M4"/>
    <mergeCell ref="A4:A5"/>
    <mergeCell ref="N4:N5"/>
    <mergeCell ref="O4:O5"/>
    <mergeCell ref="P4:P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23"/>
  <sheetViews>
    <sheetView topLeftCell="A90" workbookViewId="0">
      <selection activeCell="A101" sqref="A101:A104"/>
    </sheetView>
  </sheetViews>
  <sheetFormatPr defaultColWidth="9.109375" defaultRowHeight="14.4" x14ac:dyDescent="0.3"/>
  <cols>
    <col min="1" max="1" width="36.88671875" style="45" customWidth="1"/>
    <col min="2" max="2" width="23.5546875" style="45" bestFit="1" customWidth="1"/>
    <col min="3" max="3" width="12.109375" style="45" customWidth="1"/>
    <col min="4" max="4" width="13.44140625" style="45" hidden="1" customWidth="1"/>
    <col min="5" max="5" width="9.44140625" style="45" hidden="1" customWidth="1"/>
    <col min="6" max="6" width="13.44140625" style="45" bestFit="1" customWidth="1"/>
    <col min="7" max="7" width="22.6640625" style="147" bestFit="1" customWidth="1"/>
    <col min="8" max="8" width="13.44140625" style="45" customWidth="1"/>
    <col min="9" max="9" width="14.88671875" style="45" customWidth="1"/>
    <col min="10" max="10" width="14.33203125" style="45" bestFit="1" customWidth="1"/>
    <col min="11" max="11" width="1" style="45" customWidth="1"/>
    <col min="12" max="13" width="11.44140625" style="45" hidden="1" customWidth="1"/>
    <col min="14" max="16384" width="9.109375" style="45"/>
  </cols>
  <sheetData>
    <row r="1" spans="1:12" x14ac:dyDescent="0.3">
      <c r="A1" s="44" t="s">
        <v>49</v>
      </c>
      <c r="J1" s="46"/>
    </row>
    <row r="2" spans="1:12" x14ac:dyDescent="0.3">
      <c r="A2" s="44" t="s">
        <v>45</v>
      </c>
    </row>
    <row r="3" spans="1:12" ht="24.75" customHeight="1" x14ac:dyDescent="0.3">
      <c r="A3" s="134" t="s">
        <v>64</v>
      </c>
      <c r="B3" s="134" t="s">
        <v>35</v>
      </c>
      <c r="C3" s="134" t="s">
        <v>34</v>
      </c>
      <c r="D3" s="134" t="s">
        <v>33</v>
      </c>
      <c r="E3" s="134" t="s">
        <v>32</v>
      </c>
      <c r="F3" s="137" t="s">
        <v>31</v>
      </c>
      <c r="G3" s="134" t="s">
        <v>30</v>
      </c>
      <c r="H3" s="134" t="s">
        <v>44</v>
      </c>
      <c r="I3" s="134"/>
      <c r="J3" s="134"/>
      <c r="L3" s="135" t="s">
        <v>28</v>
      </c>
    </row>
    <row r="4" spans="1:12" ht="28.8" x14ac:dyDescent="0.3">
      <c r="A4" s="135"/>
      <c r="B4" s="135"/>
      <c r="C4" s="135"/>
      <c r="D4" s="135"/>
      <c r="E4" s="135"/>
      <c r="F4" s="138"/>
      <c r="G4" s="135"/>
      <c r="H4" s="62" t="s">
        <v>65</v>
      </c>
      <c r="I4" s="63" t="s">
        <v>66</v>
      </c>
      <c r="J4" s="63" t="s">
        <v>67</v>
      </c>
      <c r="L4" s="136"/>
    </row>
    <row r="5" spans="1:12" x14ac:dyDescent="0.3">
      <c r="A5" s="64" t="s">
        <v>68</v>
      </c>
      <c r="B5" s="65" t="s">
        <v>69</v>
      </c>
      <c r="C5" s="66">
        <v>43039</v>
      </c>
      <c r="D5" s="67">
        <v>5900</v>
      </c>
      <c r="E5" s="67">
        <v>900</v>
      </c>
      <c r="F5" s="91">
        <f>D5-E5</f>
        <v>5000</v>
      </c>
      <c r="G5" s="148" t="s">
        <v>1</v>
      </c>
      <c r="H5" s="67">
        <f>ROUND(F5*40%,0)</f>
        <v>2000</v>
      </c>
      <c r="I5" s="67">
        <f>F5-H5</f>
        <v>3000</v>
      </c>
      <c r="J5" s="68">
        <f>I5/2</f>
        <v>1500</v>
      </c>
      <c r="L5" s="67">
        <v>18900</v>
      </c>
    </row>
    <row r="6" spans="1:12" x14ac:dyDescent="0.3">
      <c r="A6" s="7" t="s">
        <v>70</v>
      </c>
      <c r="B6" s="6" t="s">
        <v>71</v>
      </c>
      <c r="C6" s="5">
        <v>43039</v>
      </c>
      <c r="D6" s="4">
        <v>17110</v>
      </c>
      <c r="E6" s="4">
        <v>2610</v>
      </c>
      <c r="F6" s="92">
        <f>D6-E6</f>
        <v>14500</v>
      </c>
      <c r="G6" s="149" t="s">
        <v>1</v>
      </c>
      <c r="H6" s="4">
        <f t="shared" ref="H6:H11" si="0">ROUND(F6*40%,0)</f>
        <v>5800</v>
      </c>
      <c r="I6" s="4">
        <f t="shared" ref="I6:I11" si="1">F6-H6</f>
        <v>8700</v>
      </c>
      <c r="J6" s="3">
        <f t="shared" ref="J6:J11" si="2">I6/2</f>
        <v>4350</v>
      </c>
      <c r="L6" s="4">
        <v>5120</v>
      </c>
    </row>
    <row r="7" spans="1:12" x14ac:dyDescent="0.3">
      <c r="A7" s="7" t="s">
        <v>72</v>
      </c>
      <c r="B7" s="6" t="s">
        <v>73</v>
      </c>
      <c r="C7" s="5">
        <v>43101</v>
      </c>
      <c r="D7" s="4">
        <v>23600</v>
      </c>
      <c r="E7" s="4">
        <v>3600</v>
      </c>
      <c r="F7" s="92">
        <f t="shared" ref="F7:F15" si="3">D7-E7</f>
        <v>20000</v>
      </c>
      <c r="G7" s="149" t="s">
        <v>1</v>
      </c>
      <c r="H7" s="4">
        <f t="shared" si="0"/>
        <v>8000</v>
      </c>
      <c r="I7" s="4">
        <f t="shared" si="1"/>
        <v>12000</v>
      </c>
      <c r="J7" s="3">
        <f t="shared" si="2"/>
        <v>6000</v>
      </c>
      <c r="L7" s="4"/>
    </row>
    <row r="8" spans="1:12" x14ac:dyDescent="0.3">
      <c r="A8" s="7" t="s">
        <v>74</v>
      </c>
      <c r="B8" s="6" t="s">
        <v>75</v>
      </c>
      <c r="C8" s="5">
        <v>43141</v>
      </c>
      <c r="D8" s="4">
        <v>5900</v>
      </c>
      <c r="E8" s="4">
        <v>900</v>
      </c>
      <c r="F8" s="92">
        <f t="shared" si="3"/>
        <v>5000</v>
      </c>
      <c r="G8" s="149" t="s">
        <v>1</v>
      </c>
      <c r="H8" s="4">
        <f t="shared" si="0"/>
        <v>2000</v>
      </c>
      <c r="I8" s="4">
        <f t="shared" si="1"/>
        <v>3000</v>
      </c>
      <c r="J8" s="3">
        <f t="shared" si="2"/>
        <v>1500</v>
      </c>
      <c r="L8" s="4"/>
    </row>
    <row r="9" spans="1:12" x14ac:dyDescent="0.3">
      <c r="A9" s="7" t="s">
        <v>76</v>
      </c>
      <c r="B9" s="6" t="s">
        <v>77</v>
      </c>
      <c r="C9" s="5">
        <v>43141</v>
      </c>
      <c r="D9" s="4">
        <v>23600</v>
      </c>
      <c r="E9" s="4">
        <v>3600</v>
      </c>
      <c r="F9" s="92">
        <f t="shared" si="3"/>
        <v>20000</v>
      </c>
      <c r="G9" s="149" t="s">
        <v>1</v>
      </c>
      <c r="H9" s="4">
        <f t="shared" si="0"/>
        <v>8000</v>
      </c>
      <c r="I9" s="4">
        <f t="shared" si="1"/>
        <v>12000</v>
      </c>
      <c r="J9" s="3">
        <f t="shared" si="2"/>
        <v>6000</v>
      </c>
      <c r="L9" s="4"/>
    </row>
    <row r="10" spans="1:12" x14ac:dyDescent="0.3">
      <c r="A10" s="69" t="s">
        <v>78</v>
      </c>
      <c r="B10" s="6" t="s">
        <v>79</v>
      </c>
      <c r="C10" s="5">
        <v>43157</v>
      </c>
      <c r="D10" s="4">
        <v>1770</v>
      </c>
      <c r="E10" s="4">
        <v>270</v>
      </c>
      <c r="F10" s="92">
        <f t="shared" si="3"/>
        <v>1500</v>
      </c>
      <c r="G10" s="149" t="s">
        <v>1</v>
      </c>
      <c r="H10" s="4">
        <f t="shared" si="0"/>
        <v>600</v>
      </c>
      <c r="I10" s="4">
        <f t="shared" si="1"/>
        <v>900</v>
      </c>
      <c r="J10" s="3">
        <f t="shared" si="2"/>
        <v>450</v>
      </c>
      <c r="L10" s="4"/>
    </row>
    <row r="11" spans="1:12" x14ac:dyDescent="0.3">
      <c r="A11" s="7" t="s">
        <v>80</v>
      </c>
      <c r="B11" s="6" t="s">
        <v>81</v>
      </c>
      <c r="C11" s="5" t="s">
        <v>82</v>
      </c>
      <c r="D11" s="4">
        <v>7080</v>
      </c>
      <c r="E11" s="4">
        <v>1080</v>
      </c>
      <c r="F11" s="92">
        <f t="shared" si="3"/>
        <v>6000</v>
      </c>
      <c r="G11" s="149" t="s">
        <v>1</v>
      </c>
      <c r="H11" s="4">
        <f t="shared" si="0"/>
        <v>2400</v>
      </c>
      <c r="I11" s="4">
        <f t="shared" si="1"/>
        <v>3600</v>
      </c>
      <c r="J11" s="3">
        <f t="shared" si="2"/>
        <v>1800</v>
      </c>
      <c r="L11" s="75">
        <v>21240</v>
      </c>
    </row>
    <row r="12" spans="1:12" x14ac:dyDescent="0.3">
      <c r="A12" s="7" t="s">
        <v>83</v>
      </c>
      <c r="B12" s="6" t="s">
        <v>84</v>
      </c>
      <c r="C12" s="5">
        <v>42978</v>
      </c>
      <c r="D12" s="4">
        <v>20650</v>
      </c>
      <c r="E12" s="4">
        <f>1575*2</f>
        <v>3150</v>
      </c>
      <c r="F12" s="92">
        <f t="shared" si="3"/>
        <v>17500</v>
      </c>
      <c r="G12" s="149" t="s">
        <v>59</v>
      </c>
      <c r="H12" s="4">
        <f>ROUND(F12*40%,0)</f>
        <v>7000</v>
      </c>
      <c r="I12" s="4">
        <f>F12-H12</f>
        <v>10500</v>
      </c>
      <c r="J12" s="3">
        <f>I12/2</f>
        <v>5250</v>
      </c>
      <c r="L12" s="67">
        <v>18900</v>
      </c>
    </row>
    <row r="13" spans="1:12" x14ac:dyDescent="0.3">
      <c r="A13" s="7" t="s">
        <v>85</v>
      </c>
      <c r="B13" s="6" t="s">
        <v>86</v>
      </c>
      <c r="C13" s="5">
        <v>42978</v>
      </c>
      <c r="D13" s="4">
        <v>4720</v>
      </c>
      <c r="E13" s="4">
        <f>360*2</f>
        <v>720</v>
      </c>
      <c r="F13" s="92">
        <f t="shared" si="3"/>
        <v>4000</v>
      </c>
      <c r="G13" s="149" t="s">
        <v>1</v>
      </c>
      <c r="H13" s="4">
        <f t="shared" ref="H13:H16" si="4">ROUND(F13*40%,0)</f>
        <v>1600</v>
      </c>
      <c r="I13" s="4">
        <f t="shared" ref="I13:I15" si="5">F13-H13</f>
        <v>2400</v>
      </c>
      <c r="J13" s="3">
        <f t="shared" ref="J13:J16" si="6">I13/2</f>
        <v>1200</v>
      </c>
      <c r="L13" s="4">
        <v>5120</v>
      </c>
    </row>
    <row r="14" spans="1:12" x14ac:dyDescent="0.3">
      <c r="A14" s="7" t="s">
        <v>87</v>
      </c>
      <c r="B14" s="6" t="s">
        <v>88</v>
      </c>
      <c r="C14" s="5">
        <v>42978</v>
      </c>
      <c r="D14" s="4">
        <v>23600</v>
      </c>
      <c r="E14" s="4">
        <v>3600</v>
      </c>
      <c r="F14" s="92">
        <f t="shared" si="3"/>
        <v>20000</v>
      </c>
      <c r="G14" s="149" t="s">
        <v>1</v>
      </c>
      <c r="H14" s="4">
        <f t="shared" si="4"/>
        <v>8000</v>
      </c>
      <c r="I14" s="4">
        <f t="shared" si="5"/>
        <v>12000</v>
      </c>
      <c r="J14" s="3">
        <f t="shared" si="6"/>
        <v>6000</v>
      </c>
      <c r="L14" s="4">
        <v>22472</v>
      </c>
    </row>
    <row r="15" spans="1:12" x14ac:dyDescent="0.3">
      <c r="A15" s="35" t="s">
        <v>83</v>
      </c>
      <c r="B15" s="36" t="s">
        <v>89</v>
      </c>
      <c r="C15" s="37">
        <v>42997</v>
      </c>
      <c r="D15" s="38">
        <v>23600</v>
      </c>
      <c r="E15" s="38">
        <v>3600</v>
      </c>
      <c r="F15" s="93">
        <f t="shared" si="3"/>
        <v>20000</v>
      </c>
      <c r="G15" s="150" t="s">
        <v>1</v>
      </c>
      <c r="H15" s="38">
        <f t="shared" si="4"/>
        <v>8000</v>
      </c>
      <c r="I15" s="38">
        <f t="shared" si="5"/>
        <v>12000</v>
      </c>
      <c r="J15" s="39">
        <f t="shared" si="6"/>
        <v>6000</v>
      </c>
      <c r="L15" s="75">
        <v>21240</v>
      </c>
    </row>
    <row r="16" spans="1:12" ht="15" thickBot="1" x14ac:dyDescent="0.35">
      <c r="A16" s="70" t="s">
        <v>90</v>
      </c>
      <c r="B16" s="72"/>
      <c r="C16" s="73"/>
      <c r="D16" s="71">
        <f>SUM(D5:D15)</f>
        <v>157530</v>
      </c>
      <c r="E16" s="71"/>
      <c r="F16" s="71">
        <f>SUM(F5:F15)</f>
        <v>133500</v>
      </c>
      <c r="G16" s="151"/>
      <c r="H16" s="71">
        <f t="shared" si="4"/>
        <v>53400</v>
      </c>
      <c r="I16" s="71">
        <f>F16-H16</f>
        <v>80100</v>
      </c>
      <c r="J16" s="74">
        <f t="shared" si="6"/>
        <v>40050</v>
      </c>
      <c r="L16" s="76"/>
    </row>
    <row r="18" spans="1:13" ht="24.75" customHeight="1" x14ac:dyDescent="0.3">
      <c r="A18" s="134" t="s">
        <v>36</v>
      </c>
      <c r="B18" s="134" t="s">
        <v>35</v>
      </c>
      <c r="C18" s="134" t="s">
        <v>34</v>
      </c>
      <c r="D18" s="134" t="s">
        <v>33</v>
      </c>
      <c r="E18" s="134" t="s">
        <v>32</v>
      </c>
      <c r="F18" s="134" t="s">
        <v>31</v>
      </c>
      <c r="G18" s="134" t="s">
        <v>30</v>
      </c>
      <c r="H18" s="134" t="s">
        <v>44</v>
      </c>
      <c r="I18" s="134"/>
      <c r="J18" s="134"/>
      <c r="L18" s="135" t="s">
        <v>28</v>
      </c>
    </row>
    <row r="19" spans="1:13" ht="43.2" x14ac:dyDescent="0.3">
      <c r="A19" s="134"/>
      <c r="B19" s="134"/>
      <c r="C19" s="134"/>
      <c r="D19" s="134"/>
      <c r="E19" s="134"/>
      <c r="F19" s="134"/>
      <c r="G19" s="134"/>
      <c r="H19" s="43" t="s">
        <v>43</v>
      </c>
      <c r="I19" s="8" t="s">
        <v>42</v>
      </c>
      <c r="J19" s="8" t="s">
        <v>25</v>
      </c>
      <c r="L19" s="136"/>
      <c r="M19" s="8" t="s">
        <v>25</v>
      </c>
    </row>
    <row r="20" spans="1:13" ht="28.8" x14ac:dyDescent="0.3">
      <c r="A20" s="26" t="s">
        <v>41</v>
      </c>
      <c r="B20" s="24" t="s">
        <v>39</v>
      </c>
      <c r="C20" s="25" t="s">
        <v>39</v>
      </c>
      <c r="D20" s="23">
        <v>0</v>
      </c>
      <c r="E20" s="23">
        <v>0</v>
      </c>
      <c r="F20" s="23">
        <v>1200000</v>
      </c>
      <c r="G20" s="152" t="s">
        <v>38</v>
      </c>
      <c r="H20" s="23">
        <f>ROUND(F20*60%,0)</f>
        <v>720000</v>
      </c>
      <c r="I20" s="23">
        <f>F20-H20</f>
        <v>480000</v>
      </c>
      <c r="J20" s="31">
        <f>I20/2</f>
        <v>240000</v>
      </c>
      <c r="L20" s="67">
        <v>18900</v>
      </c>
      <c r="M20" s="77">
        <f>J20</f>
        <v>240000</v>
      </c>
    </row>
    <row r="21" spans="1:13" ht="28.8" x14ac:dyDescent="0.3">
      <c r="A21" s="22" t="s">
        <v>40</v>
      </c>
      <c r="B21" s="20" t="s">
        <v>39</v>
      </c>
      <c r="C21" s="21" t="s">
        <v>39</v>
      </c>
      <c r="D21" s="19">
        <v>0</v>
      </c>
      <c r="E21" s="19">
        <v>0</v>
      </c>
      <c r="F21" s="19">
        <v>477664</v>
      </c>
      <c r="G21" s="153" t="s">
        <v>38</v>
      </c>
      <c r="H21" s="19">
        <f>ROUND(F21*60%,0)</f>
        <v>286598</v>
      </c>
      <c r="I21" s="19">
        <f>F21-H21</f>
        <v>191066</v>
      </c>
      <c r="J21" s="32">
        <f>I21/2</f>
        <v>95533</v>
      </c>
      <c r="L21" s="67">
        <v>18900</v>
      </c>
      <c r="M21" s="77">
        <f>J21</f>
        <v>95533</v>
      </c>
    </row>
    <row r="22" spans="1:13" ht="28.8" x14ac:dyDescent="0.3">
      <c r="A22" s="22" t="s">
        <v>40</v>
      </c>
      <c r="B22" s="20" t="s">
        <v>39</v>
      </c>
      <c r="C22" s="21" t="s">
        <v>39</v>
      </c>
      <c r="D22" s="19">
        <v>0</v>
      </c>
      <c r="E22" s="19">
        <v>0</v>
      </c>
      <c r="F22" s="19">
        <v>405000</v>
      </c>
      <c r="G22" s="153" t="s">
        <v>38</v>
      </c>
      <c r="H22" s="19">
        <f>ROUND(F22*60%,0)</f>
        <v>243000</v>
      </c>
      <c r="I22" s="19">
        <f>F22-H22</f>
        <v>162000</v>
      </c>
      <c r="J22" s="32">
        <f>I22/2</f>
        <v>81000</v>
      </c>
      <c r="L22" s="67">
        <v>18900</v>
      </c>
      <c r="M22" s="77">
        <f>J22</f>
        <v>81000</v>
      </c>
    </row>
    <row r="23" spans="1:13" ht="28.8" x14ac:dyDescent="0.3">
      <c r="A23" s="22" t="s">
        <v>40</v>
      </c>
      <c r="B23" s="20" t="s">
        <v>39</v>
      </c>
      <c r="C23" s="21" t="s">
        <v>39</v>
      </c>
      <c r="D23" s="19" t="s">
        <v>39</v>
      </c>
      <c r="E23" s="19" t="s">
        <v>39</v>
      </c>
      <c r="F23" s="19">
        <v>53074</v>
      </c>
      <c r="G23" s="153" t="s">
        <v>38</v>
      </c>
      <c r="H23" s="19">
        <f>ROUND(F23*60%,0)</f>
        <v>31844</v>
      </c>
      <c r="I23" s="19">
        <f>F23-H23</f>
        <v>21230</v>
      </c>
      <c r="J23" s="32">
        <f>I23/2-1</f>
        <v>10614</v>
      </c>
      <c r="L23" s="67">
        <v>18900</v>
      </c>
    </row>
    <row r="24" spans="1:13" ht="28.8" x14ac:dyDescent="0.3">
      <c r="A24" s="27" t="s">
        <v>40</v>
      </c>
      <c r="B24" s="28" t="s">
        <v>39</v>
      </c>
      <c r="C24" s="29" t="s">
        <v>39</v>
      </c>
      <c r="D24" s="30" t="s">
        <v>39</v>
      </c>
      <c r="E24" s="30" t="s">
        <v>39</v>
      </c>
      <c r="F24" s="30">
        <v>45000</v>
      </c>
      <c r="G24" s="153" t="s">
        <v>38</v>
      </c>
      <c r="H24" s="30">
        <f>ROUND(F24*60%,0)</f>
        <v>27000</v>
      </c>
      <c r="I24" s="30">
        <f>F24-H24</f>
        <v>18000</v>
      </c>
      <c r="J24" s="33">
        <f>I24/2</f>
        <v>9000</v>
      </c>
      <c r="L24" s="67">
        <v>18900</v>
      </c>
    </row>
    <row r="25" spans="1:13" ht="15" thickBot="1" x14ac:dyDescent="0.35">
      <c r="A25" s="18" t="s">
        <v>37</v>
      </c>
      <c r="B25" s="17"/>
      <c r="C25" s="16"/>
      <c r="D25" s="15"/>
      <c r="E25" s="15"/>
      <c r="F25" s="14">
        <f>SUM(F20:F24)</f>
        <v>2180738</v>
      </c>
      <c r="G25" s="154">
        <f>SUM(G20:G22)</f>
        <v>0</v>
      </c>
      <c r="H25" s="14">
        <f>SUM(H20:H24)</f>
        <v>1308442</v>
      </c>
      <c r="I25" s="14">
        <f>SUM(I20:I22)</f>
        <v>833066</v>
      </c>
      <c r="J25" s="14">
        <f>SUM(J20:J24)</f>
        <v>436147</v>
      </c>
      <c r="L25" s="78"/>
    </row>
    <row r="26" spans="1:13" x14ac:dyDescent="0.3">
      <c r="A26" s="13"/>
      <c r="B26" s="11"/>
      <c r="C26" s="12"/>
      <c r="D26" s="10"/>
      <c r="E26" s="10"/>
      <c r="F26" s="10"/>
      <c r="G26" s="155"/>
      <c r="H26" s="10"/>
      <c r="I26" s="10"/>
      <c r="J26" s="9"/>
      <c r="L26" s="78"/>
    </row>
    <row r="27" spans="1:13" ht="24.75" customHeight="1" x14ac:dyDescent="0.3">
      <c r="A27" s="134" t="s">
        <v>36</v>
      </c>
      <c r="B27" s="134" t="s">
        <v>35</v>
      </c>
      <c r="C27" s="134" t="s">
        <v>34</v>
      </c>
      <c r="D27" s="134" t="s">
        <v>33</v>
      </c>
      <c r="E27" s="134" t="s">
        <v>32</v>
      </c>
      <c r="F27" s="134" t="s">
        <v>31</v>
      </c>
      <c r="G27" s="134" t="s">
        <v>30</v>
      </c>
      <c r="H27" s="134" t="s">
        <v>29</v>
      </c>
      <c r="I27" s="134"/>
      <c r="J27" s="134"/>
      <c r="L27" s="135" t="s">
        <v>28</v>
      </c>
    </row>
    <row r="28" spans="1:13" ht="43.2" x14ac:dyDescent="0.3">
      <c r="A28" s="134"/>
      <c r="B28" s="134"/>
      <c r="C28" s="134"/>
      <c r="D28" s="134"/>
      <c r="E28" s="134"/>
      <c r="F28" s="134"/>
      <c r="G28" s="134"/>
      <c r="H28" s="43" t="s">
        <v>27</v>
      </c>
      <c r="I28" s="8" t="s">
        <v>26</v>
      </c>
      <c r="J28" s="8" t="s">
        <v>25</v>
      </c>
      <c r="L28" s="136"/>
    </row>
    <row r="29" spans="1:13" x14ac:dyDescent="0.3">
      <c r="A29" s="7" t="s">
        <v>23</v>
      </c>
      <c r="B29" s="6" t="s">
        <v>24</v>
      </c>
      <c r="C29" s="5">
        <v>43214</v>
      </c>
      <c r="D29" s="4">
        <v>1770</v>
      </c>
      <c r="E29" s="4">
        <v>270</v>
      </c>
      <c r="F29" s="4">
        <f t="shared" ref="F29:F40" si="7">D29-E29</f>
        <v>1500</v>
      </c>
      <c r="G29" s="149" t="s">
        <v>15</v>
      </c>
      <c r="H29" s="4">
        <f t="shared" ref="H29:H40" si="8">ROUND(F29*40%,0)</f>
        <v>600</v>
      </c>
      <c r="I29" s="4">
        <f t="shared" ref="I29:I40" si="9">F29-H29</f>
        <v>900</v>
      </c>
      <c r="J29" s="34">
        <f t="shared" ref="J29:J40" si="10">I29/2</f>
        <v>450</v>
      </c>
      <c r="L29" s="67">
        <v>18900</v>
      </c>
      <c r="M29" s="77">
        <f>J29</f>
        <v>450</v>
      </c>
    </row>
    <row r="30" spans="1:13" x14ac:dyDescent="0.3">
      <c r="A30" s="7" t="s">
        <v>23</v>
      </c>
      <c r="B30" s="6" t="s">
        <v>22</v>
      </c>
      <c r="C30" s="5">
        <v>43229</v>
      </c>
      <c r="D30" s="4">
        <v>3540</v>
      </c>
      <c r="E30" s="4">
        <v>540</v>
      </c>
      <c r="F30" s="4">
        <f t="shared" si="7"/>
        <v>3000</v>
      </c>
      <c r="G30" s="149" t="s">
        <v>15</v>
      </c>
      <c r="H30" s="4">
        <f t="shared" si="8"/>
        <v>1200</v>
      </c>
      <c r="I30" s="4">
        <f t="shared" si="9"/>
        <v>1800</v>
      </c>
      <c r="J30" s="34">
        <f t="shared" si="10"/>
        <v>900</v>
      </c>
      <c r="L30" s="4">
        <v>5120</v>
      </c>
      <c r="M30" s="77">
        <f t="shared" ref="M30:M40" si="11">J30</f>
        <v>900</v>
      </c>
    </row>
    <row r="31" spans="1:13" x14ac:dyDescent="0.3">
      <c r="A31" s="7" t="s">
        <v>21</v>
      </c>
      <c r="B31" s="6" t="s">
        <v>20</v>
      </c>
      <c r="C31" s="5">
        <v>43262</v>
      </c>
      <c r="D31" s="4">
        <v>27140</v>
      </c>
      <c r="E31" s="4">
        <v>4140</v>
      </c>
      <c r="F31" s="4">
        <f t="shared" si="7"/>
        <v>23000</v>
      </c>
      <c r="G31" s="149" t="s">
        <v>19</v>
      </c>
      <c r="H31" s="4">
        <f t="shared" si="8"/>
        <v>9200</v>
      </c>
      <c r="I31" s="4">
        <f t="shared" si="9"/>
        <v>13800</v>
      </c>
      <c r="J31" s="34">
        <f t="shared" si="10"/>
        <v>6900</v>
      </c>
      <c r="L31" s="4"/>
      <c r="M31" s="77">
        <f t="shared" si="11"/>
        <v>6900</v>
      </c>
    </row>
    <row r="32" spans="1:13" x14ac:dyDescent="0.3">
      <c r="A32" s="7" t="s">
        <v>8</v>
      </c>
      <c r="B32" s="6" t="s">
        <v>18</v>
      </c>
      <c r="C32" s="5">
        <v>43262</v>
      </c>
      <c r="D32" s="4">
        <v>1770</v>
      </c>
      <c r="E32" s="4">
        <v>270</v>
      </c>
      <c r="F32" s="4">
        <f t="shared" si="7"/>
        <v>1500</v>
      </c>
      <c r="G32" s="149" t="s">
        <v>15</v>
      </c>
      <c r="H32" s="4">
        <f t="shared" si="8"/>
        <v>600</v>
      </c>
      <c r="I32" s="4">
        <f t="shared" si="9"/>
        <v>900</v>
      </c>
      <c r="J32" s="34">
        <f t="shared" si="10"/>
        <v>450</v>
      </c>
      <c r="L32" s="4"/>
      <c r="M32" s="77">
        <f t="shared" si="11"/>
        <v>450</v>
      </c>
    </row>
    <row r="33" spans="1:13" x14ac:dyDescent="0.3">
      <c r="A33" s="7" t="s">
        <v>8</v>
      </c>
      <c r="B33" s="6" t="s">
        <v>17</v>
      </c>
      <c r="C33" s="5">
        <v>43262</v>
      </c>
      <c r="D33" s="4">
        <v>3540</v>
      </c>
      <c r="E33" s="4">
        <v>540</v>
      </c>
      <c r="F33" s="4">
        <f t="shared" si="7"/>
        <v>3000</v>
      </c>
      <c r="G33" s="149" t="s">
        <v>15</v>
      </c>
      <c r="H33" s="4">
        <f t="shared" si="8"/>
        <v>1200</v>
      </c>
      <c r="I33" s="4">
        <f t="shared" si="9"/>
        <v>1800</v>
      </c>
      <c r="J33" s="34">
        <f t="shared" si="10"/>
        <v>900</v>
      </c>
      <c r="L33" s="4"/>
      <c r="M33" s="77">
        <f t="shared" si="11"/>
        <v>900</v>
      </c>
    </row>
    <row r="34" spans="1:13" x14ac:dyDescent="0.3">
      <c r="A34" s="7" t="s">
        <v>8</v>
      </c>
      <c r="B34" s="6" t="s">
        <v>16</v>
      </c>
      <c r="C34" s="5">
        <v>43305</v>
      </c>
      <c r="D34" s="4">
        <v>10620</v>
      </c>
      <c r="E34" s="4">
        <v>1620</v>
      </c>
      <c r="F34" s="4">
        <f t="shared" si="7"/>
        <v>9000</v>
      </c>
      <c r="G34" s="149" t="s">
        <v>15</v>
      </c>
      <c r="H34" s="4">
        <f t="shared" si="8"/>
        <v>3600</v>
      </c>
      <c r="I34" s="4">
        <f t="shared" si="9"/>
        <v>5400</v>
      </c>
      <c r="J34" s="34">
        <f t="shared" si="10"/>
        <v>2700</v>
      </c>
      <c r="L34" s="4"/>
      <c r="M34" s="77">
        <f t="shared" si="11"/>
        <v>2700</v>
      </c>
    </row>
    <row r="35" spans="1:13" x14ac:dyDescent="0.3">
      <c r="A35" s="7" t="s">
        <v>11</v>
      </c>
      <c r="B35" s="6" t="s">
        <v>14</v>
      </c>
      <c r="C35" s="5">
        <v>43321</v>
      </c>
      <c r="D35" s="4">
        <v>23600</v>
      </c>
      <c r="E35" s="4">
        <v>3600</v>
      </c>
      <c r="F35" s="4">
        <f t="shared" si="7"/>
        <v>20000</v>
      </c>
      <c r="G35" s="149" t="s">
        <v>12</v>
      </c>
      <c r="H35" s="4">
        <f t="shared" si="8"/>
        <v>8000</v>
      </c>
      <c r="I35" s="4">
        <f t="shared" si="9"/>
        <v>12000</v>
      </c>
      <c r="J35" s="34">
        <f t="shared" si="10"/>
        <v>6000</v>
      </c>
      <c r="L35" s="75">
        <v>21240</v>
      </c>
      <c r="M35" s="77">
        <f t="shared" si="11"/>
        <v>6000</v>
      </c>
    </row>
    <row r="36" spans="1:13" x14ac:dyDescent="0.3">
      <c r="A36" s="7" t="s">
        <v>11</v>
      </c>
      <c r="B36" s="6" t="s">
        <v>13</v>
      </c>
      <c r="C36" s="5">
        <v>43339</v>
      </c>
      <c r="D36" s="4">
        <v>7080</v>
      </c>
      <c r="E36" s="4">
        <v>1080</v>
      </c>
      <c r="F36" s="4">
        <f t="shared" si="7"/>
        <v>6000</v>
      </c>
      <c r="G36" s="149" t="s">
        <v>12</v>
      </c>
      <c r="H36" s="4">
        <f t="shared" si="8"/>
        <v>2400</v>
      </c>
      <c r="I36" s="4">
        <f t="shared" si="9"/>
        <v>3600</v>
      </c>
      <c r="J36" s="34">
        <f t="shared" si="10"/>
        <v>1800</v>
      </c>
      <c r="L36" s="67">
        <v>18900</v>
      </c>
      <c r="M36" s="77">
        <f t="shared" si="11"/>
        <v>1800</v>
      </c>
    </row>
    <row r="37" spans="1:13" x14ac:dyDescent="0.3">
      <c r="A37" s="7" t="s">
        <v>11</v>
      </c>
      <c r="B37" s="6" t="s">
        <v>10</v>
      </c>
      <c r="C37" s="5">
        <v>43519</v>
      </c>
      <c r="D37" s="4">
        <v>17700</v>
      </c>
      <c r="E37" s="4">
        <v>2700</v>
      </c>
      <c r="F37" s="4">
        <f t="shared" si="7"/>
        <v>15000</v>
      </c>
      <c r="G37" s="149" t="s">
        <v>9</v>
      </c>
      <c r="H37" s="4">
        <f t="shared" si="8"/>
        <v>6000</v>
      </c>
      <c r="I37" s="4">
        <f t="shared" si="9"/>
        <v>9000</v>
      </c>
      <c r="J37" s="3">
        <f t="shared" si="10"/>
        <v>4500</v>
      </c>
      <c r="L37" s="67">
        <v>18900</v>
      </c>
      <c r="M37" s="77">
        <f t="shared" si="11"/>
        <v>4500</v>
      </c>
    </row>
    <row r="38" spans="1:13" x14ac:dyDescent="0.3">
      <c r="A38" s="7" t="s">
        <v>8</v>
      </c>
      <c r="B38" s="6" t="s">
        <v>7</v>
      </c>
      <c r="C38" s="5">
        <v>43362</v>
      </c>
      <c r="D38" s="4">
        <v>3540</v>
      </c>
      <c r="E38" s="4">
        <v>540</v>
      </c>
      <c r="F38" s="4">
        <f t="shared" si="7"/>
        <v>3000</v>
      </c>
      <c r="G38" s="149" t="s">
        <v>6</v>
      </c>
      <c r="H38" s="4">
        <f t="shared" si="8"/>
        <v>1200</v>
      </c>
      <c r="I38" s="4">
        <f t="shared" si="9"/>
        <v>1800</v>
      </c>
      <c r="J38" s="3">
        <f t="shared" si="10"/>
        <v>900</v>
      </c>
      <c r="L38" s="4">
        <v>5120</v>
      </c>
      <c r="M38" s="77">
        <f t="shared" si="11"/>
        <v>900</v>
      </c>
    </row>
    <row r="39" spans="1:13" x14ac:dyDescent="0.3">
      <c r="A39" s="7" t="s">
        <v>5</v>
      </c>
      <c r="B39" s="6" t="s">
        <v>4</v>
      </c>
      <c r="C39" s="5">
        <v>43519</v>
      </c>
      <c r="D39" s="4">
        <v>1770</v>
      </c>
      <c r="E39" s="4">
        <v>270</v>
      </c>
      <c r="F39" s="4">
        <f t="shared" si="7"/>
        <v>1500</v>
      </c>
      <c r="G39" s="149" t="s">
        <v>1</v>
      </c>
      <c r="H39" s="4">
        <f t="shared" si="8"/>
        <v>600</v>
      </c>
      <c r="I39" s="4">
        <f t="shared" si="9"/>
        <v>900</v>
      </c>
      <c r="J39" s="3">
        <f t="shared" si="10"/>
        <v>450</v>
      </c>
      <c r="L39" s="4"/>
      <c r="M39" s="77">
        <f t="shared" si="11"/>
        <v>450</v>
      </c>
    </row>
    <row r="40" spans="1:13" x14ac:dyDescent="0.3">
      <c r="A40" s="35" t="s">
        <v>3</v>
      </c>
      <c r="B40" s="36" t="s">
        <v>2</v>
      </c>
      <c r="C40" s="37">
        <v>43536</v>
      </c>
      <c r="D40" s="38">
        <v>5900</v>
      </c>
      <c r="E40" s="38">
        <v>900</v>
      </c>
      <c r="F40" s="38">
        <f t="shared" si="7"/>
        <v>5000</v>
      </c>
      <c r="G40" s="150" t="s">
        <v>1</v>
      </c>
      <c r="H40" s="38">
        <f t="shared" si="8"/>
        <v>2000</v>
      </c>
      <c r="I40" s="38">
        <f t="shared" si="9"/>
        <v>3000</v>
      </c>
      <c r="J40" s="39">
        <f t="shared" si="10"/>
        <v>1500</v>
      </c>
      <c r="L40" s="4"/>
      <c r="M40" s="77">
        <f t="shared" si="11"/>
        <v>1500</v>
      </c>
    </row>
    <row r="41" spans="1:13" ht="15" thickBot="1" x14ac:dyDescent="0.35">
      <c r="A41" s="40" t="s">
        <v>0</v>
      </c>
      <c r="B41" s="41"/>
      <c r="C41" s="41"/>
      <c r="D41" s="42">
        <f>SUM(D29:D40)</f>
        <v>107970</v>
      </c>
      <c r="E41" s="42">
        <f>SUM(E29:E40)</f>
        <v>16470</v>
      </c>
      <c r="F41" s="42">
        <f>SUM(F29:F40)</f>
        <v>91500</v>
      </c>
      <c r="G41" s="156">
        <v>0</v>
      </c>
      <c r="H41" s="42">
        <f>SUM(H29:H40)</f>
        <v>36600</v>
      </c>
      <c r="I41" s="42">
        <f>SUM(I29:I40)</f>
        <v>54900</v>
      </c>
      <c r="J41" s="42">
        <f>SUM(J29:J40)</f>
        <v>27450</v>
      </c>
      <c r="L41" s="41"/>
    </row>
    <row r="43" spans="1:13" ht="15" thickBot="1" x14ac:dyDescent="0.35">
      <c r="A43" s="2" t="s">
        <v>128</v>
      </c>
      <c r="B43" s="2"/>
      <c r="C43" s="2"/>
      <c r="D43" s="1">
        <f t="shared" ref="D43:J43" si="12">D41+D25</f>
        <v>107970</v>
      </c>
      <c r="E43" s="1">
        <f t="shared" si="12"/>
        <v>16470</v>
      </c>
      <c r="F43" s="1">
        <f t="shared" si="12"/>
        <v>2272238</v>
      </c>
      <c r="G43" s="157">
        <f t="shared" si="12"/>
        <v>0</v>
      </c>
      <c r="H43" s="1">
        <f t="shared" si="12"/>
        <v>1345042</v>
      </c>
      <c r="I43" s="1">
        <f t="shared" si="12"/>
        <v>887966</v>
      </c>
      <c r="J43" s="1">
        <f t="shared" si="12"/>
        <v>463597</v>
      </c>
    </row>
    <row r="44" spans="1:13" ht="15" thickTop="1" x14ac:dyDescent="0.3"/>
    <row r="45" spans="1:13" ht="24.75" customHeight="1" x14ac:dyDescent="0.3">
      <c r="A45" s="134" t="s">
        <v>36</v>
      </c>
      <c r="B45" s="134" t="s">
        <v>35</v>
      </c>
      <c r="C45" s="134" t="s">
        <v>34</v>
      </c>
      <c r="D45" s="134" t="s">
        <v>33</v>
      </c>
      <c r="E45" s="134" t="s">
        <v>32</v>
      </c>
      <c r="F45" s="134" t="s">
        <v>31</v>
      </c>
      <c r="G45" s="134" t="s">
        <v>30</v>
      </c>
      <c r="H45" s="134" t="s">
        <v>44</v>
      </c>
      <c r="I45" s="134"/>
      <c r="J45" s="134"/>
      <c r="L45" s="135" t="s">
        <v>28</v>
      </c>
    </row>
    <row r="46" spans="1:13" ht="43.2" x14ac:dyDescent="0.3">
      <c r="A46" s="134"/>
      <c r="B46" s="134"/>
      <c r="C46" s="134"/>
      <c r="D46" s="134"/>
      <c r="E46" s="134"/>
      <c r="F46" s="134"/>
      <c r="G46" s="134"/>
      <c r="H46" s="43" t="s">
        <v>27</v>
      </c>
      <c r="I46" s="8" t="s">
        <v>26</v>
      </c>
      <c r="J46" s="8" t="s">
        <v>25</v>
      </c>
      <c r="L46" s="136"/>
    </row>
    <row r="47" spans="1:13" ht="28.8" x14ac:dyDescent="0.3">
      <c r="A47" s="47" t="s">
        <v>40</v>
      </c>
      <c r="B47" s="48" t="s">
        <v>39</v>
      </c>
      <c r="C47" s="49" t="s">
        <v>39</v>
      </c>
      <c r="D47" s="50" t="s">
        <v>39</v>
      </c>
      <c r="E47" s="50" t="s">
        <v>39</v>
      </c>
      <c r="F47" s="50">
        <v>23553</v>
      </c>
      <c r="G47" s="89" t="s">
        <v>38</v>
      </c>
      <c r="H47" s="50">
        <f>ROUND(F47*60%,0)</f>
        <v>14132</v>
      </c>
      <c r="I47" s="50">
        <f>F47-H47</f>
        <v>9421</v>
      </c>
      <c r="J47" s="51">
        <f>I47/2</f>
        <v>4710.5</v>
      </c>
      <c r="L47" s="67">
        <v>18900</v>
      </c>
    </row>
    <row r="48" spans="1:13" ht="28.8" x14ac:dyDescent="0.3">
      <c r="A48" s="52" t="s">
        <v>40</v>
      </c>
      <c r="B48" s="53" t="s">
        <v>39</v>
      </c>
      <c r="C48" s="54" t="s">
        <v>39</v>
      </c>
      <c r="D48" s="55" t="s">
        <v>39</v>
      </c>
      <c r="E48" s="55" t="s">
        <v>39</v>
      </c>
      <c r="F48" s="55">
        <v>211980</v>
      </c>
      <c r="G48" s="90" t="s">
        <v>38</v>
      </c>
      <c r="H48" s="55">
        <f>ROUND(F48*60%,0)</f>
        <v>127188</v>
      </c>
      <c r="I48" s="55">
        <f>F48-H48</f>
        <v>84792</v>
      </c>
      <c r="J48" s="56">
        <f>I48/2</f>
        <v>42396</v>
      </c>
      <c r="L48" s="67">
        <v>18900</v>
      </c>
    </row>
    <row r="49" spans="1:13" ht="15" thickBot="1" x14ac:dyDescent="0.35">
      <c r="A49" s="18" t="s">
        <v>37</v>
      </c>
      <c r="B49" s="17"/>
      <c r="C49" s="16"/>
      <c r="D49" s="15"/>
      <c r="E49" s="15"/>
      <c r="F49" s="14">
        <f>SUM(F47:F48)</f>
        <v>235533</v>
      </c>
      <c r="G49" s="154">
        <f>SUM(G51:G53)</f>
        <v>0</v>
      </c>
      <c r="H49" s="14">
        <f>SUM(H47:H48)</f>
        <v>141320</v>
      </c>
      <c r="I49" s="14">
        <f t="shared" ref="I49:J49" si="13">SUM(I47:I48)</f>
        <v>94213</v>
      </c>
      <c r="J49" s="14">
        <f t="shared" si="13"/>
        <v>47106.5</v>
      </c>
    </row>
    <row r="50" spans="1:13" x14ac:dyDescent="0.3">
      <c r="A50" s="57" t="s">
        <v>50</v>
      </c>
      <c r="B50" s="58" t="s">
        <v>51</v>
      </c>
      <c r="C50" s="59">
        <v>43911</v>
      </c>
      <c r="D50" s="60">
        <v>1770</v>
      </c>
      <c r="E50" s="60">
        <v>270</v>
      </c>
      <c r="F50" s="60">
        <f>D50-E50</f>
        <v>1500</v>
      </c>
      <c r="G50" s="88" t="s">
        <v>1</v>
      </c>
      <c r="H50" s="60">
        <f>ROUND(F50*40%,0)</f>
        <v>600</v>
      </c>
      <c r="I50" s="60">
        <f>F50-H50</f>
        <v>900</v>
      </c>
      <c r="J50" s="61">
        <f>I50/2</f>
        <v>450</v>
      </c>
      <c r="L50" s="78"/>
    </row>
    <row r="51" spans="1:13" x14ac:dyDescent="0.3">
      <c r="A51" s="47" t="s">
        <v>52</v>
      </c>
      <c r="B51" s="48" t="s">
        <v>53</v>
      </c>
      <c r="C51" s="49">
        <v>43851</v>
      </c>
      <c r="D51" s="50">
        <v>29500</v>
      </c>
      <c r="E51" s="50">
        <f>2250*2</f>
        <v>4500</v>
      </c>
      <c r="F51" s="50">
        <f>D51-E51</f>
        <v>25000</v>
      </c>
      <c r="G51" s="89" t="s">
        <v>54</v>
      </c>
      <c r="H51" s="50">
        <f>ROUND(F51*40%,0)</f>
        <v>10000</v>
      </c>
      <c r="I51" s="50">
        <f>F51-H51</f>
        <v>15000</v>
      </c>
      <c r="J51" s="51">
        <f>I51/2</f>
        <v>7500</v>
      </c>
      <c r="L51" s="78"/>
    </row>
    <row r="52" spans="1:13" x14ac:dyDescent="0.3">
      <c r="A52" s="47" t="s">
        <v>55</v>
      </c>
      <c r="B52" s="48" t="s">
        <v>56</v>
      </c>
      <c r="C52" s="49">
        <v>43578</v>
      </c>
      <c r="D52" s="50">
        <v>7080</v>
      </c>
      <c r="E52" s="50">
        <f>540*2</f>
        <v>1080</v>
      </c>
      <c r="F52" s="50">
        <f>D52-E52</f>
        <v>6000</v>
      </c>
      <c r="G52" s="89" t="s">
        <v>57</v>
      </c>
      <c r="H52" s="50">
        <f>ROUND(F52*40%,0)</f>
        <v>2400</v>
      </c>
      <c r="I52" s="50">
        <f>F52-H52</f>
        <v>3600</v>
      </c>
      <c r="J52" s="51">
        <f>I52/2</f>
        <v>1800</v>
      </c>
      <c r="L52" s="67">
        <v>18900</v>
      </c>
    </row>
    <row r="53" spans="1:13" x14ac:dyDescent="0.3">
      <c r="A53" s="47" t="s">
        <v>11</v>
      </c>
      <c r="B53" s="48" t="s">
        <v>58</v>
      </c>
      <c r="C53" s="49">
        <v>43655</v>
      </c>
      <c r="D53" s="50">
        <v>23600</v>
      </c>
      <c r="E53" s="50">
        <f>1800+1800</f>
        <v>3600</v>
      </c>
      <c r="F53" s="50">
        <f>D53-E53</f>
        <v>20000</v>
      </c>
      <c r="G53" s="89" t="s">
        <v>59</v>
      </c>
      <c r="H53" s="50">
        <f>ROUND(F53*40%,0)</f>
        <v>8000</v>
      </c>
      <c r="I53" s="50">
        <f>F53-H53</f>
        <v>12000</v>
      </c>
      <c r="J53" s="51">
        <f>I53/2</f>
        <v>6000</v>
      </c>
      <c r="L53" s="78"/>
    </row>
    <row r="54" spans="1:13" ht="15" thickBot="1" x14ac:dyDescent="0.35">
      <c r="A54" s="40" t="s">
        <v>0</v>
      </c>
      <c r="B54" s="41"/>
      <c r="C54" s="41"/>
      <c r="D54" s="42">
        <f>SUM(D50:D53)</f>
        <v>61950</v>
      </c>
      <c r="E54" s="42">
        <f t="shared" ref="E54:J54" si="14">SUM(E50:E53)</f>
        <v>9450</v>
      </c>
      <c r="F54" s="42">
        <f t="shared" si="14"/>
        <v>52500</v>
      </c>
      <c r="G54" s="156">
        <f t="shared" si="14"/>
        <v>0</v>
      </c>
      <c r="H54" s="42">
        <f t="shared" si="14"/>
        <v>21000</v>
      </c>
      <c r="I54" s="42">
        <f t="shared" si="14"/>
        <v>31500</v>
      </c>
      <c r="J54" s="42">
        <f t="shared" si="14"/>
        <v>15750</v>
      </c>
    </row>
    <row r="56" spans="1:13" ht="15" thickBot="1" x14ac:dyDescent="0.35">
      <c r="A56" s="2" t="s">
        <v>92</v>
      </c>
      <c r="B56" s="2"/>
      <c r="C56" s="2"/>
      <c r="D56" s="1">
        <f>D54+D49</f>
        <v>61950</v>
      </c>
      <c r="E56" s="1">
        <f t="shared" ref="E56:J56" si="15">E54+E49</f>
        <v>9450</v>
      </c>
      <c r="F56" s="1">
        <f t="shared" si="15"/>
        <v>288033</v>
      </c>
      <c r="G56" s="157">
        <f t="shared" si="15"/>
        <v>0</v>
      </c>
      <c r="H56" s="1">
        <f t="shared" si="15"/>
        <v>162320</v>
      </c>
      <c r="I56" s="1">
        <f t="shared" si="15"/>
        <v>125713</v>
      </c>
      <c r="J56" s="1">
        <f t="shared" si="15"/>
        <v>62856.5</v>
      </c>
    </row>
    <row r="57" spans="1:13" ht="15" thickTop="1" x14ac:dyDescent="0.3"/>
    <row r="58" spans="1:13" ht="24.75" customHeight="1" x14ac:dyDescent="0.3">
      <c r="A58" s="134" t="s">
        <v>36</v>
      </c>
      <c r="B58" s="134" t="s">
        <v>35</v>
      </c>
      <c r="C58" s="134" t="s">
        <v>34</v>
      </c>
      <c r="D58" s="134" t="s">
        <v>33</v>
      </c>
      <c r="E58" s="134" t="s">
        <v>32</v>
      </c>
      <c r="F58" s="134" t="s">
        <v>31</v>
      </c>
      <c r="G58" s="134" t="s">
        <v>30</v>
      </c>
      <c r="H58" s="134" t="s">
        <v>44</v>
      </c>
      <c r="I58" s="134"/>
      <c r="J58" s="134"/>
      <c r="L58" s="135" t="s">
        <v>28</v>
      </c>
    </row>
    <row r="59" spans="1:13" ht="43.2" x14ac:dyDescent="0.3">
      <c r="A59" s="134"/>
      <c r="B59" s="134"/>
      <c r="C59" s="134"/>
      <c r="D59" s="134"/>
      <c r="E59" s="134"/>
      <c r="F59" s="134"/>
      <c r="G59" s="134"/>
      <c r="H59" s="106" t="s">
        <v>27</v>
      </c>
      <c r="I59" s="8" t="s">
        <v>26</v>
      </c>
      <c r="J59" s="8" t="s">
        <v>25</v>
      </c>
      <c r="L59" s="136"/>
    </row>
    <row r="60" spans="1:13" s="113" customFormat="1" ht="28.8" x14ac:dyDescent="0.3">
      <c r="A60" s="107" t="s">
        <v>103</v>
      </c>
      <c r="B60" s="108" t="s">
        <v>104</v>
      </c>
      <c r="C60" s="25">
        <v>44197</v>
      </c>
      <c r="D60" s="109">
        <v>59000</v>
      </c>
      <c r="E60" s="109">
        <f>4500*2</f>
        <v>9000</v>
      </c>
      <c r="F60" s="110">
        <f>D60-E60</f>
        <v>50000</v>
      </c>
      <c r="G60" s="111" t="s">
        <v>105</v>
      </c>
      <c r="H60" s="110">
        <f>ROUND(F60*40%,0)</f>
        <v>20000</v>
      </c>
      <c r="I60" s="109">
        <f>F60-H60</f>
        <v>30000</v>
      </c>
      <c r="J60" s="112">
        <f>I60/2</f>
        <v>15000</v>
      </c>
      <c r="M60" s="114">
        <v>18900</v>
      </c>
    </row>
    <row r="61" spans="1:13" s="113" customFormat="1" ht="28.8" x14ac:dyDescent="0.3">
      <c r="A61" s="115" t="s">
        <v>106</v>
      </c>
      <c r="B61" s="116" t="s">
        <v>107</v>
      </c>
      <c r="C61" s="21">
        <v>44228</v>
      </c>
      <c r="D61" s="117">
        <v>27000</v>
      </c>
      <c r="E61" s="117">
        <f>2059*2</f>
        <v>4118</v>
      </c>
      <c r="F61" s="118">
        <f>D61-E61</f>
        <v>22882</v>
      </c>
      <c r="G61" s="119" t="s">
        <v>108</v>
      </c>
      <c r="H61" s="118">
        <f t="shared" ref="H61:H70" si="16">ROUND(F61*40%,0)</f>
        <v>9153</v>
      </c>
      <c r="I61" s="117">
        <f t="shared" ref="I61:I70" si="17">F61-H61</f>
        <v>13729</v>
      </c>
      <c r="J61" s="120">
        <f t="shared" ref="J61:J70" si="18">I61/2</f>
        <v>6864.5</v>
      </c>
      <c r="M61" s="121">
        <v>5120</v>
      </c>
    </row>
    <row r="62" spans="1:13" s="113" customFormat="1" x14ac:dyDescent="0.3">
      <c r="A62" s="115" t="s">
        <v>109</v>
      </c>
      <c r="B62" s="116" t="s">
        <v>110</v>
      </c>
      <c r="C62" s="21">
        <v>44228</v>
      </c>
      <c r="D62" s="117">
        <v>17700</v>
      </c>
      <c r="E62" s="117">
        <f>1350*2</f>
        <v>2700</v>
      </c>
      <c r="F62" s="118">
        <f t="shared" ref="F62:F70" si="19">D62-E62</f>
        <v>15000</v>
      </c>
      <c r="G62" s="119" t="s">
        <v>111</v>
      </c>
      <c r="H62" s="118">
        <f t="shared" si="16"/>
        <v>6000</v>
      </c>
      <c r="I62" s="117">
        <f t="shared" si="17"/>
        <v>9000</v>
      </c>
      <c r="J62" s="120">
        <f t="shared" si="18"/>
        <v>4500</v>
      </c>
      <c r="M62" s="121"/>
    </row>
    <row r="63" spans="1:13" s="113" customFormat="1" x14ac:dyDescent="0.3">
      <c r="A63" s="115" t="s">
        <v>109</v>
      </c>
      <c r="B63" s="116" t="s">
        <v>112</v>
      </c>
      <c r="C63" s="21">
        <v>44254</v>
      </c>
      <c r="D63" s="117">
        <v>7080</v>
      </c>
      <c r="E63" s="117">
        <f>540*2</f>
        <v>1080</v>
      </c>
      <c r="F63" s="118">
        <f t="shared" si="19"/>
        <v>6000</v>
      </c>
      <c r="G63" s="119" t="s">
        <v>57</v>
      </c>
      <c r="H63" s="118">
        <f t="shared" si="16"/>
        <v>2400</v>
      </c>
      <c r="I63" s="117">
        <f t="shared" si="17"/>
        <v>3600</v>
      </c>
      <c r="J63" s="120">
        <f t="shared" si="18"/>
        <v>1800</v>
      </c>
      <c r="M63" s="121"/>
    </row>
    <row r="64" spans="1:13" s="113" customFormat="1" x14ac:dyDescent="0.3">
      <c r="A64" s="115" t="s">
        <v>109</v>
      </c>
      <c r="B64" s="116" t="s">
        <v>113</v>
      </c>
      <c r="C64" s="21">
        <v>44256</v>
      </c>
      <c r="D64" s="117">
        <v>7080</v>
      </c>
      <c r="E64" s="117">
        <f>540*2</f>
        <v>1080</v>
      </c>
      <c r="F64" s="118">
        <f t="shared" si="19"/>
        <v>6000</v>
      </c>
      <c r="G64" s="119" t="s">
        <v>57</v>
      </c>
      <c r="H64" s="118">
        <f t="shared" si="16"/>
        <v>2400</v>
      </c>
      <c r="I64" s="117">
        <f t="shared" si="17"/>
        <v>3600</v>
      </c>
      <c r="J64" s="120">
        <f t="shared" si="18"/>
        <v>1800</v>
      </c>
      <c r="M64" s="121"/>
    </row>
    <row r="65" spans="1:14" s="113" customFormat="1" x14ac:dyDescent="0.3">
      <c r="A65" s="115" t="s">
        <v>114</v>
      </c>
      <c r="B65" s="116" t="s">
        <v>115</v>
      </c>
      <c r="C65" s="21">
        <v>44255</v>
      </c>
      <c r="D65" s="117">
        <v>3540</v>
      </c>
      <c r="E65" s="117">
        <f>270*2</f>
        <v>540</v>
      </c>
      <c r="F65" s="118">
        <f t="shared" si="19"/>
        <v>3000</v>
      </c>
      <c r="G65" s="119" t="s">
        <v>1</v>
      </c>
      <c r="H65" s="118">
        <f t="shared" si="16"/>
        <v>1200</v>
      </c>
      <c r="I65" s="117">
        <f t="shared" si="17"/>
        <v>1800</v>
      </c>
      <c r="J65" s="120">
        <f t="shared" si="18"/>
        <v>900</v>
      </c>
      <c r="M65" s="121"/>
    </row>
    <row r="66" spans="1:14" s="113" customFormat="1" x14ac:dyDescent="0.3">
      <c r="A66" s="115" t="s">
        <v>116</v>
      </c>
      <c r="B66" s="116" t="s">
        <v>117</v>
      </c>
      <c r="C66" s="21">
        <v>44264</v>
      </c>
      <c r="D66" s="117">
        <v>12390</v>
      </c>
      <c r="E66" s="117">
        <f>945*2</f>
        <v>1890</v>
      </c>
      <c r="F66" s="118">
        <f t="shared" si="19"/>
        <v>10500</v>
      </c>
      <c r="G66" s="158" t="s">
        <v>111</v>
      </c>
      <c r="H66" s="118">
        <f t="shared" si="16"/>
        <v>4200</v>
      </c>
      <c r="I66" s="117">
        <f t="shared" si="17"/>
        <v>6300</v>
      </c>
      <c r="J66" s="120">
        <f t="shared" si="18"/>
        <v>3150</v>
      </c>
      <c r="M66" s="121"/>
    </row>
    <row r="67" spans="1:14" s="113" customFormat="1" x14ac:dyDescent="0.3">
      <c r="A67" s="115" t="s">
        <v>116</v>
      </c>
      <c r="B67" s="116" t="s">
        <v>118</v>
      </c>
      <c r="C67" s="21">
        <v>44278</v>
      </c>
      <c r="D67" s="117">
        <v>3540</v>
      </c>
      <c r="E67" s="117">
        <v>540</v>
      </c>
      <c r="F67" s="118">
        <f t="shared" si="19"/>
        <v>3000</v>
      </c>
      <c r="G67" s="158" t="s">
        <v>57</v>
      </c>
      <c r="H67" s="118">
        <f t="shared" si="16"/>
        <v>1200</v>
      </c>
      <c r="I67" s="117">
        <f t="shared" si="17"/>
        <v>1800</v>
      </c>
      <c r="J67" s="120">
        <f t="shared" si="18"/>
        <v>900</v>
      </c>
      <c r="M67" s="121"/>
    </row>
    <row r="68" spans="1:14" s="113" customFormat="1" x14ac:dyDescent="0.3">
      <c r="A68" s="115" t="s">
        <v>116</v>
      </c>
      <c r="B68" s="116" t="s">
        <v>119</v>
      </c>
      <c r="C68" s="21">
        <v>44278</v>
      </c>
      <c r="D68" s="117">
        <v>8850</v>
      </c>
      <c r="E68" s="117">
        <f>675*2</f>
        <v>1350</v>
      </c>
      <c r="F68" s="117">
        <f t="shared" si="19"/>
        <v>7500</v>
      </c>
      <c r="G68" s="158" t="s">
        <v>111</v>
      </c>
      <c r="H68" s="118">
        <f t="shared" si="16"/>
        <v>3000</v>
      </c>
      <c r="I68" s="117">
        <f t="shared" si="17"/>
        <v>4500</v>
      </c>
      <c r="J68" s="120">
        <f t="shared" si="18"/>
        <v>2250</v>
      </c>
      <c r="M68" s="121"/>
    </row>
    <row r="69" spans="1:14" s="113" customFormat="1" x14ac:dyDescent="0.3">
      <c r="A69" s="115" t="s">
        <v>120</v>
      </c>
      <c r="B69" s="116" t="s">
        <v>121</v>
      </c>
      <c r="C69" s="21">
        <v>44286</v>
      </c>
      <c r="D69" s="117">
        <v>3540</v>
      </c>
      <c r="E69" s="117">
        <f>270*2</f>
        <v>540</v>
      </c>
      <c r="F69" s="117">
        <f t="shared" si="19"/>
        <v>3000</v>
      </c>
      <c r="G69" s="158" t="s">
        <v>1</v>
      </c>
      <c r="H69" s="118">
        <f t="shared" si="16"/>
        <v>1200</v>
      </c>
      <c r="I69" s="117">
        <f t="shared" si="17"/>
        <v>1800</v>
      </c>
      <c r="J69" s="120">
        <f t="shared" si="18"/>
        <v>900</v>
      </c>
      <c r="M69" s="121"/>
    </row>
    <row r="70" spans="1:14" s="113" customFormat="1" x14ac:dyDescent="0.3">
      <c r="A70" s="115" t="s">
        <v>122</v>
      </c>
      <c r="B70" s="116" t="s">
        <v>119</v>
      </c>
      <c r="C70" s="21">
        <v>44285</v>
      </c>
      <c r="D70" s="117">
        <v>1770</v>
      </c>
      <c r="E70" s="117">
        <f>270</f>
        <v>270</v>
      </c>
      <c r="F70" s="117">
        <f t="shared" si="19"/>
        <v>1500</v>
      </c>
      <c r="G70" s="158" t="s">
        <v>1</v>
      </c>
      <c r="H70" s="118">
        <f t="shared" si="16"/>
        <v>600</v>
      </c>
      <c r="I70" s="117">
        <f t="shared" si="17"/>
        <v>900</v>
      </c>
      <c r="J70" s="120">
        <f t="shared" si="18"/>
        <v>450</v>
      </c>
      <c r="M70" s="121"/>
    </row>
    <row r="71" spans="1:14" s="113" customFormat="1" ht="15" thickBot="1" x14ac:dyDescent="0.35">
      <c r="A71" s="122" t="s">
        <v>47</v>
      </c>
      <c r="B71" s="17"/>
      <c r="C71" s="17"/>
      <c r="D71" s="123">
        <f>SUM(D60:D70)</f>
        <v>151490</v>
      </c>
      <c r="E71" s="123">
        <f t="shared" ref="E71:J71" si="20">SUM(E60:E70)</f>
        <v>23108</v>
      </c>
      <c r="F71" s="123">
        <f t="shared" si="20"/>
        <v>128382</v>
      </c>
      <c r="G71" s="159"/>
      <c r="H71" s="123">
        <f t="shared" si="20"/>
        <v>51353</v>
      </c>
      <c r="I71" s="123">
        <f t="shared" si="20"/>
        <v>77029</v>
      </c>
      <c r="J71" s="123">
        <f t="shared" si="20"/>
        <v>38514.5</v>
      </c>
      <c r="M71" s="124"/>
      <c r="N71" s="125"/>
    </row>
    <row r="73" spans="1:14" ht="15" thickBot="1" x14ac:dyDescent="0.35">
      <c r="A73" s="2" t="s">
        <v>124</v>
      </c>
      <c r="B73" s="2"/>
      <c r="C73" s="2"/>
      <c r="D73" s="1">
        <f>D71+D66</f>
        <v>163880</v>
      </c>
      <c r="E73" s="1">
        <f t="shared" ref="E73" si="21">E71+E66</f>
        <v>24998</v>
      </c>
      <c r="F73" s="1">
        <f>F71</f>
        <v>128382</v>
      </c>
      <c r="G73" s="157"/>
      <c r="H73" s="1">
        <f t="shared" ref="H73:J73" si="22">H71</f>
        <v>51353</v>
      </c>
      <c r="I73" s="1">
        <f t="shared" si="22"/>
        <v>77029</v>
      </c>
      <c r="J73" s="1">
        <f t="shared" si="22"/>
        <v>38514.5</v>
      </c>
    </row>
    <row r="74" spans="1:14" ht="15" thickTop="1" x14ac:dyDescent="0.3">
      <c r="G74" s="143"/>
    </row>
    <row r="75" spans="1:14" ht="24.75" customHeight="1" x14ac:dyDescent="0.3">
      <c r="A75" s="134" t="s">
        <v>36</v>
      </c>
      <c r="B75" s="134" t="s">
        <v>35</v>
      </c>
      <c r="C75" s="134" t="s">
        <v>34</v>
      </c>
      <c r="D75" s="134" t="s">
        <v>33</v>
      </c>
      <c r="E75" s="134" t="s">
        <v>32</v>
      </c>
      <c r="F75" s="134" t="s">
        <v>31</v>
      </c>
      <c r="G75" s="134" t="s">
        <v>30</v>
      </c>
      <c r="H75" s="134" t="s">
        <v>44</v>
      </c>
      <c r="I75" s="134"/>
      <c r="J75" s="134"/>
      <c r="L75" s="135" t="s">
        <v>28</v>
      </c>
    </row>
    <row r="76" spans="1:14" ht="43.2" x14ac:dyDescent="0.3">
      <c r="A76" s="134"/>
      <c r="B76" s="134"/>
      <c r="C76" s="134"/>
      <c r="D76" s="134"/>
      <c r="E76" s="134"/>
      <c r="F76" s="134"/>
      <c r="G76" s="134"/>
      <c r="H76" s="106" t="s">
        <v>27</v>
      </c>
      <c r="I76" s="8" t="s">
        <v>26</v>
      </c>
      <c r="J76" s="8" t="s">
        <v>25</v>
      </c>
      <c r="L76" s="136"/>
    </row>
    <row r="77" spans="1:14" s="142" customFormat="1" ht="24.75" customHeight="1" x14ac:dyDescent="0.3">
      <c r="A77" s="139" t="s">
        <v>129</v>
      </c>
      <c r="B77" s="140" t="s">
        <v>130</v>
      </c>
      <c r="C77" s="141">
        <v>44516</v>
      </c>
      <c r="F77" s="145">
        <v>4500</v>
      </c>
      <c r="G77" s="160" t="s">
        <v>57</v>
      </c>
      <c r="H77" s="146">
        <v>1800</v>
      </c>
      <c r="I77" s="146">
        <v>2700</v>
      </c>
      <c r="J77" s="146">
        <v>1350</v>
      </c>
    </row>
    <row r="78" spans="1:14" s="142" customFormat="1" ht="24.75" customHeight="1" x14ac:dyDescent="0.3">
      <c r="A78" s="139" t="s">
        <v>131</v>
      </c>
      <c r="B78" s="140" t="s">
        <v>132</v>
      </c>
      <c r="C78" s="141">
        <v>44500</v>
      </c>
      <c r="F78" s="145">
        <v>8000</v>
      </c>
      <c r="G78" s="160" t="s">
        <v>111</v>
      </c>
      <c r="H78" s="146">
        <v>3200</v>
      </c>
      <c r="I78" s="146">
        <v>4800</v>
      </c>
      <c r="J78" s="146">
        <v>2400</v>
      </c>
    </row>
    <row r="79" spans="1:14" s="142" customFormat="1" ht="24.75" customHeight="1" x14ac:dyDescent="0.3">
      <c r="A79" s="139" t="s">
        <v>133</v>
      </c>
      <c r="B79" s="140" t="s">
        <v>134</v>
      </c>
      <c r="C79" s="141">
        <v>44499</v>
      </c>
      <c r="F79" s="145">
        <v>6000</v>
      </c>
      <c r="G79" s="160" t="s">
        <v>38</v>
      </c>
      <c r="H79" s="146">
        <v>2400</v>
      </c>
      <c r="I79" s="146">
        <v>3600</v>
      </c>
      <c r="J79" s="146">
        <v>1800</v>
      </c>
    </row>
    <row r="80" spans="1:14" s="142" customFormat="1" ht="24.75" customHeight="1" x14ac:dyDescent="0.3">
      <c r="A80" s="139" t="s">
        <v>135</v>
      </c>
      <c r="B80" s="140" t="s">
        <v>136</v>
      </c>
      <c r="C80" s="141">
        <v>44516</v>
      </c>
      <c r="F80" s="145">
        <v>49500</v>
      </c>
      <c r="G80" s="160" t="s">
        <v>6</v>
      </c>
      <c r="H80" s="146">
        <v>19800</v>
      </c>
      <c r="I80" s="146">
        <v>29700</v>
      </c>
      <c r="J80" s="146">
        <v>14850</v>
      </c>
    </row>
    <row r="81" spans="1:10" s="142" customFormat="1" ht="24.75" customHeight="1" x14ac:dyDescent="0.3">
      <c r="A81" s="139" t="s">
        <v>135</v>
      </c>
      <c r="B81" s="140" t="s">
        <v>137</v>
      </c>
      <c r="C81" s="141">
        <v>44590</v>
      </c>
      <c r="F81" s="145">
        <v>75000</v>
      </c>
      <c r="G81" s="160" t="s">
        <v>138</v>
      </c>
      <c r="H81" s="146">
        <v>30000</v>
      </c>
      <c r="I81" s="146">
        <v>45000</v>
      </c>
      <c r="J81" s="146">
        <v>22500</v>
      </c>
    </row>
    <row r="82" spans="1:10" s="142" customFormat="1" ht="24.75" customHeight="1" x14ac:dyDescent="0.3">
      <c r="A82" s="139" t="s">
        <v>139</v>
      </c>
      <c r="B82" s="140" t="s">
        <v>140</v>
      </c>
      <c r="C82" s="141">
        <v>44630</v>
      </c>
      <c r="F82" s="145">
        <v>10000</v>
      </c>
      <c r="G82" s="160" t="s">
        <v>6</v>
      </c>
      <c r="H82" s="146">
        <v>4000</v>
      </c>
      <c r="I82" s="146">
        <v>6000</v>
      </c>
      <c r="J82" s="146">
        <v>3000</v>
      </c>
    </row>
    <row r="83" spans="1:10" s="142" customFormat="1" ht="24.75" customHeight="1" x14ac:dyDescent="0.3">
      <c r="A83" s="139" t="s">
        <v>141</v>
      </c>
      <c r="B83" s="140" t="s">
        <v>142</v>
      </c>
      <c r="C83" s="141">
        <v>44599</v>
      </c>
      <c r="F83" s="145">
        <v>25000</v>
      </c>
      <c r="G83" s="160" t="s">
        <v>138</v>
      </c>
      <c r="H83" s="146">
        <v>10000</v>
      </c>
      <c r="I83" s="146">
        <v>15000</v>
      </c>
      <c r="J83" s="146">
        <v>7500</v>
      </c>
    </row>
    <row r="84" spans="1:10" s="142" customFormat="1" ht="24.75" customHeight="1" x14ac:dyDescent="0.3">
      <c r="A84" s="139" t="s">
        <v>143</v>
      </c>
      <c r="B84" s="140" t="s">
        <v>145</v>
      </c>
      <c r="C84" s="141">
        <v>44634</v>
      </c>
      <c r="F84" s="145">
        <v>25000</v>
      </c>
      <c r="G84" s="160" t="s">
        <v>147</v>
      </c>
      <c r="H84" s="146">
        <v>10000</v>
      </c>
      <c r="I84" s="146">
        <v>15000</v>
      </c>
      <c r="J84" s="146">
        <v>7500</v>
      </c>
    </row>
    <row r="85" spans="1:10" s="142" customFormat="1" ht="24.75" customHeight="1" x14ac:dyDescent="0.3">
      <c r="A85" s="139" t="s">
        <v>144</v>
      </c>
      <c r="B85" s="140" t="s">
        <v>146</v>
      </c>
      <c r="C85" s="141">
        <v>44547</v>
      </c>
      <c r="F85" s="145">
        <v>63000</v>
      </c>
      <c r="G85" s="160" t="s">
        <v>148</v>
      </c>
      <c r="H85" s="146">
        <v>25200</v>
      </c>
      <c r="I85" s="146">
        <v>37800</v>
      </c>
      <c r="J85" s="146">
        <v>18900</v>
      </c>
    </row>
    <row r="86" spans="1:10" s="142" customFormat="1" ht="24.75" customHeight="1" x14ac:dyDescent="0.3">
      <c r="A86" s="139" t="s">
        <v>154</v>
      </c>
      <c r="B86" s="140" t="s">
        <v>158</v>
      </c>
      <c r="C86" s="141">
        <v>44531</v>
      </c>
      <c r="F86" s="145">
        <v>50000</v>
      </c>
      <c r="G86" s="160" t="s">
        <v>147</v>
      </c>
      <c r="H86" s="146">
        <v>20000</v>
      </c>
      <c r="I86" s="146">
        <v>30000</v>
      </c>
      <c r="J86" s="146">
        <v>15000</v>
      </c>
    </row>
    <row r="87" spans="1:10" s="142" customFormat="1" ht="24.75" customHeight="1" x14ac:dyDescent="0.3">
      <c r="A87" s="139" t="s">
        <v>155</v>
      </c>
      <c r="B87" s="140" t="s">
        <v>159</v>
      </c>
      <c r="C87" s="141">
        <v>44547</v>
      </c>
      <c r="F87" s="145">
        <v>50000</v>
      </c>
      <c r="G87" s="160" t="s">
        <v>147</v>
      </c>
      <c r="H87" s="146">
        <v>20000</v>
      </c>
      <c r="I87" s="146">
        <v>30000</v>
      </c>
      <c r="J87" s="146">
        <v>15000</v>
      </c>
    </row>
    <row r="88" spans="1:10" s="142" customFormat="1" ht="24.75" customHeight="1" x14ac:dyDescent="0.3">
      <c r="A88" s="139" t="s">
        <v>156</v>
      </c>
      <c r="B88" s="140" t="s">
        <v>160</v>
      </c>
      <c r="C88" s="141">
        <v>44475</v>
      </c>
      <c r="F88" s="145">
        <v>50000</v>
      </c>
      <c r="G88" s="160" t="s">
        <v>164</v>
      </c>
      <c r="H88" s="146">
        <v>20000</v>
      </c>
      <c r="I88" s="146">
        <v>30000</v>
      </c>
      <c r="J88" s="146">
        <v>15000</v>
      </c>
    </row>
    <row r="89" spans="1:10" s="142" customFormat="1" ht="24.75" customHeight="1" x14ac:dyDescent="0.3">
      <c r="A89" s="139" t="s">
        <v>156</v>
      </c>
      <c r="B89" s="140" t="s">
        <v>161</v>
      </c>
      <c r="C89" s="141">
        <v>44406</v>
      </c>
      <c r="F89" s="145">
        <v>25000</v>
      </c>
      <c r="G89" s="160" t="s">
        <v>164</v>
      </c>
      <c r="H89" s="146">
        <v>10000</v>
      </c>
      <c r="I89" s="146">
        <v>15000</v>
      </c>
      <c r="J89" s="146">
        <v>7500</v>
      </c>
    </row>
    <row r="90" spans="1:10" s="142" customFormat="1" ht="24.75" customHeight="1" x14ac:dyDescent="0.3">
      <c r="A90" s="139" t="s">
        <v>156</v>
      </c>
      <c r="B90" s="140" t="s">
        <v>162</v>
      </c>
      <c r="C90" s="141">
        <v>44406</v>
      </c>
      <c r="F90" s="145">
        <v>10000</v>
      </c>
      <c r="G90" s="160" t="s">
        <v>165</v>
      </c>
      <c r="H90" s="146">
        <v>4000</v>
      </c>
      <c r="I90" s="146">
        <v>6000</v>
      </c>
      <c r="J90" s="146">
        <v>3000</v>
      </c>
    </row>
    <row r="91" spans="1:10" s="142" customFormat="1" ht="24.75" customHeight="1" x14ac:dyDescent="0.3">
      <c r="A91" s="139" t="s">
        <v>157</v>
      </c>
      <c r="B91" s="140" t="s">
        <v>163</v>
      </c>
      <c r="C91" s="141">
        <v>44475</v>
      </c>
      <c r="F91" s="145">
        <v>3000</v>
      </c>
      <c r="G91" s="160" t="s">
        <v>166</v>
      </c>
      <c r="H91" s="146">
        <v>1200</v>
      </c>
      <c r="I91" s="146">
        <v>1800</v>
      </c>
      <c r="J91" s="146">
        <v>900</v>
      </c>
    </row>
    <row r="92" spans="1:10" s="142" customFormat="1" ht="24.75" customHeight="1" x14ac:dyDescent="0.3">
      <c r="A92" s="139" t="s">
        <v>167</v>
      </c>
      <c r="B92" s="140" t="s">
        <v>171</v>
      </c>
      <c r="C92" s="141">
        <v>44524</v>
      </c>
      <c r="F92" s="145">
        <v>10000</v>
      </c>
      <c r="G92" s="160" t="s">
        <v>178</v>
      </c>
      <c r="H92" s="146">
        <v>4000</v>
      </c>
      <c r="I92" s="146">
        <v>6000</v>
      </c>
      <c r="J92" s="146">
        <v>3000</v>
      </c>
    </row>
    <row r="93" spans="1:10" s="142" customFormat="1" ht="24.75" customHeight="1" x14ac:dyDescent="0.3">
      <c r="A93" s="139" t="s">
        <v>167</v>
      </c>
      <c r="B93" s="140" t="s">
        <v>172</v>
      </c>
      <c r="C93" s="141">
        <v>44524</v>
      </c>
      <c r="F93" s="145">
        <v>49500</v>
      </c>
      <c r="G93" s="160" t="s">
        <v>179</v>
      </c>
      <c r="H93" s="146">
        <v>19800</v>
      </c>
      <c r="I93" s="146">
        <v>29700</v>
      </c>
      <c r="J93" s="146">
        <v>14850</v>
      </c>
    </row>
    <row r="94" spans="1:10" s="142" customFormat="1" ht="24.75" customHeight="1" x14ac:dyDescent="0.3">
      <c r="A94" s="139" t="s">
        <v>168</v>
      </c>
      <c r="B94" s="140" t="s">
        <v>173</v>
      </c>
      <c r="C94" s="141">
        <v>44526</v>
      </c>
      <c r="F94" s="145">
        <v>43500</v>
      </c>
      <c r="G94" s="160" t="s">
        <v>178</v>
      </c>
      <c r="H94" s="146">
        <v>17400</v>
      </c>
      <c r="I94" s="146">
        <v>26100</v>
      </c>
      <c r="J94" s="146">
        <v>13050</v>
      </c>
    </row>
    <row r="95" spans="1:10" s="142" customFormat="1" ht="24.75" customHeight="1" x14ac:dyDescent="0.3">
      <c r="A95" s="139" t="s">
        <v>133</v>
      </c>
      <c r="B95" s="140" t="s">
        <v>174</v>
      </c>
      <c r="C95" s="141">
        <v>44393</v>
      </c>
      <c r="F95" s="145">
        <v>148500</v>
      </c>
      <c r="G95" s="160" t="s">
        <v>180</v>
      </c>
      <c r="H95" s="146">
        <v>59400</v>
      </c>
      <c r="I95" s="146">
        <v>89100</v>
      </c>
      <c r="J95" s="146">
        <v>44550</v>
      </c>
    </row>
    <row r="96" spans="1:10" s="142" customFormat="1" ht="24.75" customHeight="1" x14ac:dyDescent="0.3">
      <c r="A96" s="139" t="s">
        <v>169</v>
      </c>
      <c r="B96" s="140" t="s">
        <v>175</v>
      </c>
      <c r="C96" s="141">
        <v>44449</v>
      </c>
      <c r="F96" s="145">
        <v>78500</v>
      </c>
      <c r="G96" s="160" t="s">
        <v>180</v>
      </c>
      <c r="H96" s="146">
        <v>31400</v>
      </c>
      <c r="I96" s="146">
        <v>47100</v>
      </c>
      <c r="J96" s="146">
        <v>23550</v>
      </c>
    </row>
    <row r="97" spans="1:12" s="142" customFormat="1" ht="24.75" customHeight="1" x14ac:dyDescent="0.3">
      <c r="A97" s="139" t="s">
        <v>169</v>
      </c>
      <c r="B97" s="140" t="s">
        <v>176</v>
      </c>
      <c r="C97" s="141">
        <v>44500</v>
      </c>
      <c r="F97" s="145">
        <v>25000</v>
      </c>
      <c r="G97" s="160" t="s">
        <v>138</v>
      </c>
      <c r="H97" s="146">
        <v>10000</v>
      </c>
      <c r="I97" s="146">
        <v>15000</v>
      </c>
      <c r="J97" s="146">
        <v>7500</v>
      </c>
    </row>
    <row r="98" spans="1:12" s="142" customFormat="1" ht="24.75" customHeight="1" x14ac:dyDescent="0.3">
      <c r="A98" s="139" t="s">
        <v>170</v>
      </c>
      <c r="B98" s="140" t="s">
        <v>177</v>
      </c>
      <c r="C98" s="141">
        <v>44496</v>
      </c>
      <c r="F98" s="145">
        <v>6000</v>
      </c>
      <c r="G98" s="160" t="s">
        <v>138</v>
      </c>
      <c r="H98" s="146">
        <v>2400</v>
      </c>
      <c r="I98" s="146">
        <v>3600</v>
      </c>
      <c r="J98" s="146">
        <v>1800</v>
      </c>
    </row>
    <row r="99" spans="1:12" ht="15" thickBot="1" x14ac:dyDescent="0.35">
      <c r="A99" s="40" t="s">
        <v>0</v>
      </c>
      <c r="B99" s="41"/>
      <c r="C99" s="41"/>
      <c r="D99" s="42">
        <v>107970</v>
      </c>
      <c r="E99" s="42">
        <v>16470</v>
      </c>
      <c r="F99" s="42">
        <f>SUM(F77:F98)</f>
        <v>815000</v>
      </c>
      <c r="G99" s="156">
        <v>0</v>
      </c>
      <c r="H99" s="42">
        <f t="shared" ref="H99:J99" si="23">SUM(H77:H98)</f>
        <v>326000</v>
      </c>
      <c r="I99" s="42">
        <f t="shared" si="23"/>
        <v>489000</v>
      </c>
      <c r="J99" s="42">
        <f t="shared" si="23"/>
        <v>244500</v>
      </c>
      <c r="L99" s="41"/>
    </row>
    <row r="100" spans="1:12" x14ac:dyDescent="0.3">
      <c r="C100" s="144"/>
      <c r="G100" s="143"/>
    </row>
    <row r="101" spans="1:12" s="142" customFormat="1" ht="24.75" customHeight="1" x14ac:dyDescent="0.3">
      <c r="A101" s="139" t="s">
        <v>181</v>
      </c>
      <c r="B101" s="140"/>
      <c r="C101" s="141"/>
      <c r="F101" s="145">
        <v>200000</v>
      </c>
      <c r="G101" s="160" t="s">
        <v>182</v>
      </c>
      <c r="H101" s="146">
        <v>120000</v>
      </c>
      <c r="I101" s="146">
        <v>80000</v>
      </c>
      <c r="J101" s="146">
        <v>40000</v>
      </c>
    </row>
    <row r="102" spans="1:12" s="142" customFormat="1" ht="24.75" customHeight="1" x14ac:dyDescent="0.3">
      <c r="A102" s="139" t="s">
        <v>185</v>
      </c>
      <c r="B102" s="140"/>
      <c r="C102" s="141"/>
      <c r="F102" s="145">
        <v>135000</v>
      </c>
      <c r="G102" s="160" t="s">
        <v>38</v>
      </c>
      <c r="H102" s="146">
        <v>81000</v>
      </c>
      <c r="I102" s="146">
        <v>54000</v>
      </c>
      <c r="J102" s="146">
        <v>27000</v>
      </c>
    </row>
    <row r="103" spans="1:12" s="142" customFormat="1" ht="24.75" customHeight="1" x14ac:dyDescent="0.3">
      <c r="A103" s="139" t="s">
        <v>149</v>
      </c>
      <c r="B103" s="140" t="s">
        <v>150</v>
      </c>
      <c r="C103" s="141">
        <v>44624</v>
      </c>
      <c r="F103" s="145">
        <v>50000</v>
      </c>
      <c r="G103" s="160" t="s">
        <v>151</v>
      </c>
      <c r="H103" s="146">
        <v>30000</v>
      </c>
      <c r="I103" s="146">
        <v>20000</v>
      </c>
      <c r="J103" s="146">
        <v>10000</v>
      </c>
    </row>
    <row r="104" spans="1:12" s="142" customFormat="1" ht="24.75" customHeight="1" x14ac:dyDescent="0.3">
      <c r="A104" s="139" t="s">
        <v>152</v>
      </c>
      <c r="B104" s="140"/>
      <c r="C104" s="141"/>
      <c r="F104" s="145">
        <v>72843</v>
      </c>
      <c r="G104" s="160" t="s">
        <v>153</v>
      </c>
      <c r="H104" s="146">
        <v>43706</v>
      </c>
      <c r="I104" s="146">
        <v>29137</v>
      </c>
      <c r="J104" s="146">
        <v>14568.5</v>
      </c>
    </row>
    <row r="105" spans="1:12" ht="15" thickBot="1" x14ac:dyDescent="0.35">
      <c r="A105" s="18" t="s">
        <v>37</v>
      </c>
      <c r="B105" s="17"/>
      <c r="C105" s="16"/>
      <c r="D105" s="15"/>
      <c r="E105" s="15"/>
      <c r="F105" s="14">
        <f>SUM(F101:F104)</f>
        <v>457843</v>
      </c>
      <c r="G105" s="154">
        <v>0</v>
      </c>
      <c r="H105" s="14">
        <f t="shared" ref="H105:J105" si="24">SUM(H101:H104)</f>
        <v>274706</v>
      </c>
      <c r="I105" s="14">
        <f t="shared" si="24"/>
        <v>183137</v>
      </c>
      <c r="J105" s="14">
        <f t="shared" si="24"/>
        <v>91568.5</v>
      </c>
    </row>
    <row r="106" spans="1:12" x14ac:dyDescent="0.3">
      <c r="C106" s="144"/>
      <c r="G106" s="143"/>
    </row>
    <row r="107" spans="1:12" ht="15" thickBot="1" x14ac:dyDescent="0.35">
      <c r="A107" s="2" t="s">
        <v>184</v>
      </c>
      <c r="B107" s="2"/>
      <c r="C107" s="2"/>
      <c r="D107" s="1">
        <f>D105+D99</f>
        <v>107970</v>
      </c>
      <c r="E107" s="1">
        <f t="shared" ref="E107" si="25">E105+E99</f>
        <v>16470</v>
      </c>
      <c r="F107" s="1">
        <f>F105+F99</f>
        <v>1272843</v>
      </c>
      <c r="G107" s="157"/>
      <c r="H107" s="1">
        <f t="shared" ref="H107:J107" si="26">H105+H99</f>
        <v>600706</v>
      </c>
      <c r="I107" s="1">
        <f t="shared" si="26"/>
        <v>672137</v>
      </c>
      <c r="J107" s="1">
        <f t="shared" si="26"/>
        <v>336068.5</v>
      </c>
    </row>
    <row r="108" spans="1:12" ht="15" thickTop="1" x14ac:dyDescent="0.3">
      <c r="G108" s="143"/>
    </row>
    <row r="109" spans="1:12" ht="15" thickBot="1" x14ac:dyDescent="0.35">
      <c r="A109" s="79" t="s">
        <v>183</v>
      </c>
      <c r="B109" s="80"/>
      <c r="C109" s="80"/>
      <c r="D109" s="80"/>
      <c r="E109" s="80"/>
      <c r="F109" s="81">
        <f>F56+F43+F16+F73+F107</f>
        <v>4094996</v>
      </c>
      <c r="G109" s="161">
        <f>G56+G43+G16</f>
        <v>0</v>
      </c>
      <c r="H109" s="81">
        <f>H56+H43+H16+H73+H107</f>
        <v>2212821</v>
      </c>
      <c r="I109" s="81">
        <f>I56+I43+I16+I73+I107</f>
        <v>1842945</v>
      </c>
      <c r="J109" s="81">
        <f>J56+J43+J16+J73+J107</f>
        <v>941086.5</v>
      </c>
    </row>
    <row r="111" spans="1:12" x14ac:dyDescent="0.3">
      <c r="A111" s="84" t="s">
        <v>61</v>
      </c>
      <c r="J111" s="82"/>
    </row>
    <row r="112" spans="1:12" x14ac:dyDescent="0.3">
      <c r="A112" s="45" t="s">
        <v>62</v>
      </c>
      <c r="J112" s="85">
        <v>34245</v>
      </c>
    </row>
    <row r="113" spans="1:10" x14ac:dyDescent="0.3">
      <c r="A113" s="45" t="s">
        <v>63</v>
      </c>
      <c r="J113" s="126">
        <v>204702</v>
      </c>
    </row>
    <row r="114" spans="1:10" x14ac:dyDescent="0.3">
      <c r="A114" s="45" t="s">
        <v>125</v>
      </c>
      <c r="J114" s="126">
        <v>31046</v>
      </c>
    </row>
    <row r="115" spans="1:10" ht="15" thickBot="1" x14ac:dyDescent="0.35">
      <c r="A115" s="40" t="s">
        <v>93</v>
      </c>
      <c r="B115" s="41"/>
      <c r="C115" s="41"/>
      <c r="D115" s="41"/>
      <c r="E115" s="41"/>
      <c r="F115" s="41"/>
      <c r="G115" s="162"/>
      <c r="H115" s="41"/>
      <c r="I115" s="41"/>
      <c r="J115" s="83">
        <f>SUM(J112:J114)</f>
        <v>269993</v>
      </c>
    </row>
    <row r="117" spans="1:10" x14ac:dyDescent="0.3">
      <c r="A117" s="45" t="s">
        <v>123</v>
      </c>
      <c r="J117" s="127">
        <v>200000</v>
      </c>
    </row>
    <row r="118" spans="1:10" ht="15" thickBot="1" x14ac:dyDescent="0.35">
      <c r="A118" s="40" t="s">
        <v>93</v>
      </c>
      <c r="B118" s="41"/>
      <c r="C118" s="41"/>
      <c r="D118" s="41"/>
      <c r="E118" s="41"/>
      <c r="F118" s="41"/>
      <c r="G118" s="162"/>
      <c r="H118" s="41"/>
      <c r="I118" s="41"/>
      <c r="J118" s="128">
        <f>SUM(J117)</f>
        <v>200000</v>
      </c>
    </row>
    <row r="119" spans="1:10" x14ac:dyDescent="0.3">
      <c r="J119" s="127"/>
    </row>
    <row r="120" spans="1:10" ht="15" thickBot="1" x14ac:dyDescent="0.35">
      <c r="A120" s="86" t="s">
        <v>186</v>
      </c>
      <c r="B120" s="86"/>
      <c r="C120" s="86"/>
      <c r="D120" s="86"/>
      <c r="E120" s="86"/>
      <c r="F120" s="86"/>
      <c r="G120" s="163"/>
      <c r="H120" s="86"/>
      <c r="I120" s="86"/>
      <c r="J120" s="87">
        <f>J109-J115+J118</f>
        <v>871093.5</v>
      </c>
    </row>
    <row r="121" spans="1:10" ht="15" thickTop="1" x14ac:dyDescent="0.3"/>
    <row r="123" spans="1:10" x14ac:dyDescent="0.3">
      <c r="J123" s="77"/>
    </row>
  </sheetData>
  <mergeCells count="54">
    <mergeCell ref="F58:F59"/>
    <mergeCell ref="G58:G59"/>
    <mergeCell ref="H58:J58"/>
    <mergeCell ref="L58:L59"/>
    <mergeCell ref="A75:A76"/>
    <mergeCell ref="B75:B76"/>
    <mergeCell ref="C75:C76"/>
    <mergeCell ref="D75:D76"/>
    <mergeCell ref="E75:E76"/>
    <mergeCell ref="F75:F76"/>
    <mergeCell ref="G75:G76"/>
    <mergeCell ref="H75:J75"/>
    <mergeCell ref="L75:L76"/>
    <mergeCell ref="A58:A59"/>
    <mergeCell ref="B58:B59"/>
    <mergeCell ref="C58:C59"/>
    <mergeCell ref="D58:D59"/>
    <mergeCell ref="E58:E59"/>
    <mergeCell ref="F3:F4"/>
    <mergeCell ref="G3:G4"/>
    <mergeCell ref="H3:J3"/>
    <mergeCell ref="L3:L4"/>
    <mergeCell ref="A45:A46"/>
    <mergeCell ref="B45:B46"/>
    <mergeCell ref="C45:C46"/>
    <mergeCell ref="A3:A4"/>
    <mergeCell ref="B3:B4"/>
    <mergeCell ref="C3:C4"/>
    <mergeCell ref="D3:D4"/>
    <mergeCell ref="E3:E4"/>
    <mergeCell ref="D45:D46"/>
    <mergeCell ref="E45:E46"/>
    <mergeCell ref="H27:J27"/>
    <mergeCell ref="L27:L28"/>
    <mergeCell ref="G18:G19"/>
    <mergeCell ref="H18:J18"/>
    <mergeCell ref="L18:L19"/>
    <mergeCell ref="F27:F28"/>
    <mergeCell ref="G27:G28"/>
    <mergeCell ref="F18:F19"/>
    <mergeCell ref="F45:F46"/>
    <mergeCell ref="G45:G46"/>
    <mergeCell ref="H45:J45"/>
    <mergeCell ref="L45:L46"/>
    <mergeCell ref="A18:A19"/>
    <mergeCell ref="B18:B19"/>
    <mergeCell ref="C18:C19"/>
    <mergeCell ref="D18:D19"/>
    <mergeCell ref="E18:E19"/>
    <mergeCell ref="A27:A28"/>
    <mergeCell ref="B27:B28"/>
    <mergeCell ref="C27:C28"/>
    <mergeCell ref="D27:D28"/>
    <mergeCell ref="E27:E28"/>
  </mergeCells>
  <hyperlinks>
    <hyperlink ref="G47" location="Annexure!A1" display="List of Faculty_Annexure" xr:uid="{00000000-0004-0000-0100-000000000000}"/>
    <hyperlink ref="G48" location="Annexure!A1" display="List of Faculty_Annexure" xr:uid="{00000000-0004-0000-0100-000001000000}"/>
  </hyperlink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SMIT Dept Fund_Consultancy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Prasad</dc:creator>
  <cp:lastModifiedBy>Finance_9393</cp:lastModifiedBy>
  <dcterms:created xsi:type="dcterms:W3CDTF">2019-04-27T11:08:50Z</dcterms:created>
  <dcterms:modified xsi:type="dcterms:W3CDTF">2022-06-04T13:01:56Z</dcterms:modified>
</cp:coreProperties>
</file>